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  <Override PartName="/xl/threadedComments/threadedComment2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tiffa\Downloads\"/>
    </mc:Choice>
  </mc:AlternateContent>
  <bookViews>
    <workbookView xWindow="0" yWindow="0" windowWidth="23040" windowHeight="9072" tabRatio="617" firstSheet="1" activeTab="1"/>
  </bookViews>
  <sheets>
    <sheet name="Balance  " sheetId="2" r:id="rId1"/>
    <sheet name="DATA " sheetId="1" r:id="rId2"/>
    <sheet name="Personals balance  " sheetId="6" r:id="rId3"/>
    <sheet name="Individual costs  " sheetId="10" r:id="rId4"/>
    <sheet name="Individual received " sheetId="19" r:id="rId5"/>
    <sheet name="data ANALYSIS  " sheetId="12" r:id="rId6"/>
    <sheet name="Bank journal  " sheetId="4" r:id="rId7"/>
    <sheet name="Bank reconciliation  " sheetId="5" r:id="rId8"/>
    <sheet name="Cash journal  " sheetId="3" r:id="rId9"/>
    <sheet name="Cash desk closing" sheetId="7" r:id="rId10"/>
    <sheet name="Global data " sheetId="26" r:id="rId11"/>
    <sheet name="Donors table " sheetId="27" r:id="rId12"/>
    <sheet name="phone credit " sheetId="23" r:id="rId13"/>
  </sheets>
  <definedNames>
    <definedName name="_xlnm._FilterDatabase" localSheetId="6" hidden="1">'Bank journal  '!$A$1:$J$15</definedName>
    <definedName name="_xlnm._FilterDatabase" localSheetId="7" hidden="1">'Bank reconciliation  '!$A$9:$E$27</definedName>
    <definedName name="_xlnm._FilterDatabase" localSheetId="8" hidden="1">'Cash journal  '!$A$1:$J$108</definedName>
    <definedName name="_xlnm._FilterDatabase" localSheetId="1" hidden="1">'DATA '!$A$1:$O$710</definedName>
    <definedName name="_xlnm._FilterDatabase" localSheetId="10" hidden="1">'Global data '!$A$1:$O$2702</definedName>
    <definedName name="_xlnm._FilterDatabase" localSheetId="2" hidden="1">'Personals balance  '!$A$141:$F$217</definedName>
    <definedName name="_xlnm.Print_Area" localSheetId="7">'Bank reconciliation  '!$A$1:$E$72</definedName>
  </definedNames>
  <calcPr calcId="162913"/>
  <pivotCaches>
    <pivotCache cacheId="1" r:id="rId14"/>
    <pivotCache cacheId="2" r:id="rId15"/>
    <pivotCache cacheId="3" r:id="rId16"/>
    <pivotCache cacheId="4" r:id="rId17"/>
  </pivotCaches>
  <extLst>
    <ext xmlns:x15="http://schemas.microsoft.com/office/spreadsheetml/2010/11/main" uri="{140A7094-0E35-4892-8432-C4D2E57EDEB5}">
      <x15:workbookPr chartTrackingRefBase="1"/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C60" i="27" l="1"/>
  <c r="I55" i="27"/>
  <c r="H55" i="27"/>
  <c r="G42" i="27"/>
  <c r="F42" i="27"/>
  <c r="E42" i="27"/>
  <c r="D42" i="27"/>
  <c r="H42" i="27" s="1"/>
  <c r="I30" i="27"/>
  <c r="I31" i="27" s="1"/>
  <c r="H30" i="27"/>
  <c r="H31" i="27" s="1"/>
  <c r="I17" i="27"/>
  <c r="I18" i="27" s="1"/>
  <c r="I19" i="27" s="1"/>
  <c r="B16" i="27"/>
  <c r="H17" i="27" s="1"/>
  <c r="H18" i="27" s="1"/>
  <c r="H19" i="27" s="1"/>
  <c r="J15" i="27"/>
  <c r="I10" i="27"/>
  <c r="H10" i="27"/>
  <c r="F2702" i="26"/>
  <c r="F2701" i="26"/>
  <c r="F2700" i="26"/>
  <c r="F2699" i="26"/>
  <c r="F2698" i="26"/>
  <c r="F2697" i="26"/>
  <c r="F2696" i="26"/>
  <c r="F2695" i="26"/>
  <c r="F2694" i="26"/>
  <c r="F2693" i="26"/>
  <c r="F2692" i="26"/>
  <c r="F2691" i="26"/>
  <c r="G2690" i="26"/>
  <c r="F2690" i="26" s="1"/>
  <c r="G2689" i="26"/>
  <c r="F2689" i="26"/>
  <c r="G2688" i="26"/>
  <c r="F2688" i="26" s="1"/>
  <c r="F2687" i="26"/>
  <c r="F2686" i="26"/>
  <c r="F2685" i="26"/>
  <c r="F2684" i="26"/>
  <c r="F2683" i="26"/>
  <c r="F2682" i="26"/>
  <c r="F2681" i="26"/>
  <c r="F2680" i="26"/>
  <c r="F2679" i="26"/>
  <c r="F2678" i="26"/>
  <c r="F2677" i="26"/>
  <c r="F2676" i="26"/>
  <c r="F2675" i="26"/>
  <c r="F2674" i="26"/>
  <c r="F2673" i="26"/>
  <c r="F2672" i="26"/>
  <c r="F2671" i="26"/>
  <c r="F2670" i="26"/>
  <c r="F2669" i="26"/>
  <c r="F2668" i="26"/>
  <c r="F2667" i="26"/>
  <c r="F2666" i="26"/>
  <c r="F2665" i="26"/>
  <c r="F2664" i="26"/>
  <c r="F2663" i="26"/>
  <c r="F2662" i="26"/>
  <c r="F2661" i="26"/>
  <c r="F2660" i="26"/>
  <c r="F2659" i="26"/>
  <c r="F2658" i="26"/>
  <c r="F2657" i="26"/>
  <c r="F2656" i="26"/>
  <c r="F2655" i="26"/>
  <c r="F2654" i="26"/>
  <c r="F2653" i="26"/>
  <c r="F2652" i="26"/>
  <c r="F2651" i="26"/>
  <c r="F2650" i="26"/>
  <c r="F2649" i="26"/>
  <c r="F2648" i="26"/>
  <c r="F2647" i="26"/>
  <c r="F2646" i="26"/>
  <c r="F2645" i="26"/>
  <c r="F2644" i="26"/>
  <c r="F2643" i="26"/>
  <c r="F2642" i="26"/>
  <c r="F2640" i="26"/>
  <c r="F2639" i="26"/>
  <c r="F2638" i="26"/>
  <c r="F2637" i="26"/>
  <c r="F2636" i="26"/>
  <c r="F2635" i="26"/>
  <c r="F2634" i="26"/>
  <c r="F2633" i="26"/>
  <c r="F2632" i="26"/>
  <c r="F2631" i="26"/>
  <c r="F2630" i="26"/>
  <c r="F2629" i="26"/>
  <c r="F2628" i="26"/>
  <c r="F2627" i="26"/>
  <c r="F2626" i="26"/>
  <c r="F2624" i="26"/>
  <c r="F2623" i="26"/>
  <c r="F2622" i="26"/>
  <c r="F2621" i="26"/>
  <c r="F2620" i="26"/>
  <c r="F2619" i="26"/>
  <c r="F2618" i="26"/>
  <c r="F2617" i="26"/>
  <c r="F2616" i="26"/>
  <c r="F2615" i="26"/>
  <c r="F2614" i="26"/>
  <c r="F2613" i="26"/>
  <c r="F2612" i="26"/>
  <c r="F2611" i="26"/>
  <c r="F2610" i="26"/>
  <c r="F2609" i="26"/>
  <c r="F2608" i="26"/>
  <c r="F2607" i="26"/>
  <c r="F2606" i="26"/>
  <c r="F2605" i="26"/>
  <c r="F2604" i="26"/>
  <c r="F2603" i="26"/>
  <c r="F2602" i="26"/>
  <c r="F2601" i="26"/>
  <c r="F2600" i="26"/>
  <c r="F2599" i="26"/>
  <c r="F2598" i="26"/>
  <c r="F2597" i="26"/>
  <c r="F2596" i="26"/>
  <c r="F2595" i="26"/>
  <c r="F2594" i="26"/>
  <c r="F2593" i="26"/>
  <c r="F2592" i="26"/>
  <c r="F2591" i="26"/>
  <c r="F2590" i="26"/>
  <c r="F2589" i="26"/>
  <c r="F2588" i="26"/>
  <c r="F2587" i="26"/>
  <c r="F2586" i="26"/>
  <c r="F2585" i="26"/>
  <c r="F2584" i="26"/>
  <c r="F2583" i="26"/>
  <c r="F2582" i="26"/>
  <c r="F2581" i="26"/>
  <c r="F2580" i="26"/>
  <c r="F2579" i="26"/>
  <c r="F2578" i="26"/>
  <c r="F2577" i="26"/>
  <c r="F2576" i="26"/>
  <c r="F2575" i="26"/>
  <c r="F2574" i="26"/>
  <c r="F2573" i="26"/>
  <c r="F2572" i="26"/>
  <c r="F2571" i="26"/>
  <c r="F2570" i="26"/>
  <c r="F2569" i="26"/>
  <c r="F2568" i="26"/>
  <c r="F2567" i="26"/>
  <c r="F2566" i="26"/>
  <c r="F2565" i="26"/>
  <c r="F2564" i="26"/>
  <c r="F2563" i="26"/>
  <c r="F2562" i="26"/>
  <c r="F2561" i="26"/>
  <c r="F2560" i="26"/>
  <c r="F2559" i="26"/>
  <c r="F2558" i="26"/>
  <c r="F2557" i="26"/>
  <c r="F2556" i="26"/>
  <c r="F2555" i="26"/>
  <c r="F2554" i="26"/>
  <c r="F2553" i="26"/>
  <c r="F2552" i="26"/>
  <c r="F2551" i="26"/>
  <c r="F2550" i="26"/>
  <c r="F2549" i="26"/>
  <c r="F2548" i="26"/>
  <c r="F2547" i="26"/>
  <c r="F2546" i="26"/>
  <c r="F2545" i="26"/>
  <c r="F2544" i="26"/>
  <c r="F2543" i="26"/>
  <c r="F2542" i="26"/>
  <c r="F2541" i="26"/>
  <c r="F2540" i="26"/>
  <c r="F2539" i="26"/>
  <c r="F2538" i="26"/>
  <c r="F2537" i="26"/>
  <c r="F2536" i="26"/>
  <c r="F2535" i="26"/>
  <c r="F2534" i="26"/>
  <c r="F2533" i="26"/>
  <c r="F2532" i="26"/>
  <c r="F2531" i="26"/>
  <c r="F2530" i="26"/>
  <c r="F2529" i="26"/>
  <c r="F2528" i="26"/>
  <c r="F2527" i="26"/>
  <c r="F2526" i="26"/>
  <c r="F2525" i="26"/>
  <c r="F2524" i="26"/>
  <c r="F2523" i="26"/>
  <c r="F2522" i="26"/>
  <c r="F2521" i="26"/>
  <c r="F2520" i="26"/>
  <c r="F2519" i="26"/>
  <c r="F2518" i="26"/>
  <c r="F2517" i="26"/>
  <c r="F2516" i="26"/>
  <c r="F2515" i="26"/>
  <c r="F2514" i="26"/>
  <c r="F2513" i="26"/>
  <c r="F2512" i="26"/>
  <c r="F2511" i="26"/>
  <c r="F2510" i="26"/>
  <c r="F2509" i="26"/>
  <c r="F2508" i="26"/>
  <c r="F2507" i="26"/>
  <c r="F2506" i="26"/>
  <c r="F2505" i="26"/>
  <c r="F2504" i="26"/>
  <c r="F2503" i="26"/>
  <c r="F2502" i="26"/>
  <c r="F2501" i="26"/>
  <c r="F2500" i="26"/>
  <c r="F2499" i="26"/>
  <c r="F2498" i="26"/>
  <c r="F2497" i="26"/>
  <c r="F2496" i="26"/>
  <c r="F2495" i="26"/>
  <c r="F2494" i="26"/>
  <c r="F2493" i="26"/>
  <c r="F2492" i="26"/>
  <c r="F2491" i="26"/>
  <c r="F2490" i="26"/>
  <c r="F2489" i="26"/>
  <c r="F2488" i="26"/>
  <c r="F2487" i="26"/>
  <c r="F2486" i="26"/>
  <c r="F2485" i="26"/>
  <c r="F2484" i="26"/>
  <c r="F2483" i="26"/>
  <c r="F2482" i="26"/>
  <c r="F2481" i="26"/>
  <c r="F2480" i="26"/>
  <c r="F2479" i="26"/>
  <c r="F2478" i="26"/>
  <c r="F2477" i="26"/>
  <c r="F2476" i="26"/>
  <c r="F2475" i="26"/>
  <c r="F2474" i="26"/>
  <c r="F2473" i="26"/>
  <c r="F2472" i="26"/>
  <c r="F2471" i="26"/>
  <c r="F2470" i="26"/>
  <c r="F2469" i="26"/>
  <c r="F2468" i="26"/>
  <c r="F2467" i="26"/>
  <c r="F2466" i="26"/>
  <c r="F2465" i="26"/>
  <c r="F2464" i="26"/>
  <c r="F2463" i="26"/>
  <c r="F2462" i="26"/>
  <c r="F2461" i="26"/>
  <c r="F2460" i="26"/>
  <c r="F2459" i="26"/>
  <c r="F2458" i="26"/>
  <c r="F2457" i="26"/>
  <c r="F2456" i="26"/>
  <c r="F2455" i="26"/>
  <c r="F2454" i="26"/>
  <c r="F2453" i="26"/>
  <c r="F2452" i="26"/>
  <c r="F2451" i="26"/>
  <c r="F2450" i="26"/>
  <c r="F2449" i="26"/>
  <c r="F2448" i="26"/>
  <c r="F2447" i="26"/>
  <c r="F2446" i="26"/>
  <c r="F2445" i="26"/>
  <c r="F2444" i="26"/>
  <c r="F2443" i="26"/>
  <c r="F2442" i="26"/>
  <c r="F2441" i="26"/>
  <c r="F2440" i="26"/>
  <c r="F2439" i="26"/>
  <c r="F2438" i="26"/>
  <c r="F2437" i="26"/>
  <c r="F2436" i="26"/>
  <c r="F2435" i="26"/>
  <c r="F2434" i="26"/>
  <c r="F2433" i="26"/>
  <c r="F2432" i="26"/>
  <c r="F2431" i="26"/>
  <c r="F2430" i="26"/>
  <c r="F2429" i="26"/>
  <c r="F2428" i="26"/>
  <c r="F2427" i="26"/>
  <c r="F2426" i="26"/>
  <c r="F2425" i="26"/>
  <c r="F2424" i="26"/>
  <c r="F2423" i="26"/>
  <c r="F2422" i="26"/>
  <c r="F2421" i="26"/>
  <c r="F2420" i="26"/>
  <c r="F2419" i="26"/>
  <c r="F2418" i="26"/>
  <c r="F2417" i="26"/>
  <c r="F2416" i="26"/>
  <c r="F2415" i="26"/>
  <c r="F2414" i="26"/>
  <c r="F2413" i="26"/>
  <c r="F2412" i="26"/>
  <c r="F2411" i="26"/>
  <c r="F2410" i="26"/>
  <c r="F2409" i="26"/>
  <c r="F2408" i="26"/>
  <c r="F2407" i="26"/>
  <c r="F2406" i="26"/>
  <c r="F2405" i="26"/>
  <c r="F2404" i="26"/>
  <c r="F2403" i="26"/>
  <c r="F2402" i="26"/>
  <c r="F2401" i="26"/>
  <c r="F2400" i="26"/>
  <c r="F2399" i="26"/>
  <c r="F2398" i="26"/>
  <c r="F2397" i="26"/>
  <c r="F2396" i="26"/>
  <c r="F2395" i="26"/>
  <c r="F2394" i="26"/>
  <c r="F2393" i="26"/>
  <c r="F2392" i="26"/>
  <c r="F2391" i="26"/>
  <c r="F2390" i="26"/>
  <c r="F2389" i="26"/>
  <c r="F2388" i="26"/>
  <c r="F2387" i="26"/>
  <c r="F2386" i="26"/>
  <c r="F2385" i="26"/>
  <c r="F2384" i="26"/>
  <c r="F2383" i="26"/>
  <c r="F2382" i="26"/>
  <c r="F2381" i="26"/>
  <c r="F2380" i="26"/>
  <c r="F2379" i="26"/>
  <c r="F2378" i="26"/>
  <c r="F2377" i="26"/>
  <c r="F2376" i="26"/>
  <c r="F2375" i="26"/>
  <c r="F2374" i="26"/>
  <c r="F2373" i="26"/>
  <c r="F2372" i="26"/>
  <c r="F2371" i="26"/>
  <c r="F2370" i="26"/>
  <c r="F2369" i="26"/>
  <c r="F2368" i="26"/>
  <c r="F2367" i="26"/>
  <c r="F2366" i="26"/>
  <c r="F2365" i="26"/>
  <c r="F2364" i="26"/>
  <c r="F2363" i="26"/>
  <c r="F2362" i="26"/>
  <c r="F2361" i="26"/>
  <c r="F2360" i="26"/>
  <c r="F2359" i="26"/>
  <c r="F2358" i="26"/>
  <c r="F2357" i="26"/>
  <c r="F2356" i="26"/>
  <c r="F2355" i="26"/>
  <c r="F2353" i="26"/>
  <c r="F2352" i="26"/>
  <c r="F2351" i="26"/>
  <c r="F2350" i="26"/>
  <c r="F2293" i="26"/>
  <c r="F2349" i="26"/>
  <c r="F2348" i="26"/>
  <c r="F2347" i="26"/>
  <c r="F2346" i="26"/>
  <c r="F2345" i="26"/>
  <c r="F2344" i="26"/>
  <c r="F2343" i="26"/>
  <c r="F2342" i="26"/>
  <c r="F2341" i="26"/>
  <c r="F2340" i="26"/>
  <c r="F2339" i="26"/>
  <c r="F2338" i="26"/>
  <c r="F2337" i="26"/>
  <c r="F2336" i="26"/>
  <c r="F2335" i="26"/>
  <c r="F2334" i="26"/>
  <c r="F2333" i="26"/>
  <c r="F2332" i="26"/>
  <c r="F2331" i="26"/>
  <c r="F2330" i="26"/>
  <c r="F2329" i="26"/>
  <c r="F2328" i="26"/>
  <c r="F2327" i="26"/>
  <c r="F2326" i="26"/>
  <c r="F2325" i="26"/>
  <c r="F2324" i="26"/>
  <c r="F2323" i="26"/>
  <c r="F2322" i="26"/>
  <c r="F2321" i="26"/>
  <c r="F2320" i="26"/>
  <c r="F2319" i="26"/>
  <c r="F2318" i="26"/>
  <c r="F2317" i="26"/>
  <c r="F2316" i="26"/>
  <c r="F2315" i="26"/>
  <c r="F2314" i="26"/>
  <c r="F2313" i="26"/>
  <c r="F2312" i="26"/>
  <c r="F2311" i="26"/>
  <c r="F2310" i="26"/>
  <c r="F2309" i="26"/>
  <c r="F2308" i="26"/>
  <c r="F2307" i="26"/>
  <c r="F2306" i="26"/>
  <c r="F2305" i="26"/>
  <c r="F2304" i="26"/>
  <c r="F2303" i="26"/>
  <c r="F2302" i="26"/>
  <c r="F2301" i="26"/>
  <c r="F2300" i="26"/>
  <c r="F2299" i="26"/>
  <c r="F2298" i="26"/>
  <c r="F2297" i="26"/>
  <c r="F2296" i="26"/>
  <c r="F2295" i="26"/>
  <c r="F2294" i="26"/>
  <c r="F2292" i="26"/>
  <c r="F2291" i="26"/>
  <c r="F2251" i="26"/>
  <c r="F2290" i="26"/>
  <c r="F2289" i="26"/>
  <c r="F2288" i="26"/>
  <c r="F2287" i="26"/>
  <c r="F2286" i="26"/>
  <c r="F2285" i="26"/>
  <c r="F2284" i="26"/>
  <c r="F2283" i="26"/>
  <c r="F2282" i="26"/>
  <c r="F2281" i="26"/>
  <c r="F2280" i="26"/>
  <c r="F2279" i="26"/>
  <c r="F2278" i="26"/>
  <c r="F2277" i="26"/>
  <c r="F2276" i="26"/>
  <c r="F2275" i="26"/>
  <c r="F2274" i="26"/>
  <c r="F2273" i="26"/>
  <c r="F2272" i="26"/>
  <c r="F2271" i="26"/>
  <c r="F2270" i="26"/>
  <c r="F2269" i="26"/>
  <c r="F2268" i="26"/>
  <c r="F2267" i="26"/>
  <c r="F2266" i="26"/>
  <c r="F2265" i="26"/>
  <c r="F2264" i="26"/>
  <c r="F2263" i="26"/>
  <c r="F2262" i="26"/>
  <c r="F2261" i="26"/>
  <c r="F2260" i="26"/>
  <c r="F2259" i="26"/>
  <c r="F2258" i="26"/>
  <c r="F2257" i="26"/>
  <c r="F2256" i="26"/>
  <c r="F2255" i="26"/>
  <c r="F2254" i="26"/>
  <c r="F2253" i="26"/>
  <c r="F2252" i="26"/>
  <c r="F2250" i="26"/>
  <c r="F2207" i="26"/>
  <c r="F2249" i="26"/>
  <c r="F2248" i="26"/>
  <c r="F2247" i="26"/>
  <c r="F2246" i="26"/>
  <c r="F2245" i="26"/>
  <c r="F2244" i="26"/>
  <c r="F2243" i="26"/>
  <c r="F2242" i="26"/>
  <c r="F2241" i="26"/>
  <c r="F2240" i="26"/>
  <c r="F2239" i="26"/>
  <c r="F2238" i="26"/>
  <c r="F2237" i="26"/>
  <c r="F2236" i="26"/>
  <c r="F2235" i="26"/>
  <c r="F2234" i="26"/>
  <c r="F2233" i="26"/>
  <c r="F2232" i="26"/>
  <c r="F2231" i="26"/>
  <c r="F2230" i="26"/>
  <c r="F2229" i="26"/>
  <c r="F2228" i="26"/>
  <c r="F2227" i="26"/>
  <c r="F2226" i="26"/>
  <c r="F2225" i="26"/>
  <c r="F2224" i="26"/>
  <c r="F2223" i="26"/>
  <c r="F2222" i="26"/>
  <c r="F2221" i="26"/>
  <c r="F2220" i="26"/>
  <c r="F2219" i="26"/>
  <c r="F2218" i="26"/>
  <c r="F2217" i="26"/>
  <c r="F2216" i="26"/>
  <c r="F2215" i="26"/>
  <c r="F2214" i="26"/>
  <c r="F2213" i="26"/>
  <c r="F2212" i="26"/>
  <c r="F2211" i="26"/>
  <c r="F2210" i="26"/>
  <c r="F2209" i="26"/>
  <c r="F2208" i="26"/>
  <c r="F2206" i="26"/>
  <c r="F2205" i="26"/>
  <c r="F2204" i="26"/>
  <c r="F2173" i="26"/>
  <c r="F2203" i="26"/>
  <c r="F2202" i="26"/>
  <c r="F2201" i="26"/>
  <c r="F2200" i="26"/>
  <c r="F2199" i="26"/>
  <c r="F2198" i="26"/>
  <c r="F2197" i="26"/>
  <c r="F2196" i="26"/>
  <c r="F2195" i="26"/>
  <c r="F2194" i="26"/>
  <c r="F2193" i="26"/>
  <c r="F2192" i="26"/>
  <c r="F2191" i="26"/>
  <c r="F2190" i="26"/>
  <c r="F2189" i="26"/>
  <c r="F2188" i="26"/>
  <c r="F2187" i="26"/>
  <c r="F2186" i="26"/>
  <c r="F2185" i="26"/>
  <c r="F2184" i="26"/>
  <c r="F2183" i="26"/>
  <c r="F2182" i="26"/>
  <c r="F2181" i="26"/>
  <c r="F2180" i="26"/>
  <c r="F2179" i="26"/>
  <c r="F2178" i="26"/>
  <c r="F2177" i="26"/>
  <c r="F2176" i="26"/>
  <c r="F2175" i="26"/>
  <c r="F2174" i="26"/>
  <c r="F2172" i="26"/>
  <c r="F2171" i="26"/>
  <c r="F2170" i="26"/>
  <c r="F2139" i="26"/>
  <c r="F2169" i="26"/>
  <c r="F2168" i="26"/>
  <c r="F2167" i="26"/>
  <c r="F2166" i="26"/>
  <c r="F2165" i="26"/>
  <c r="F2164" i="26"/>
  <c r="F2163" i="26"/>
  <c r="F2162" i="26"/>
  <c r="F2161" i="26"/>
  <c r="F2160" i="26"/>
  <c r="F2159" i="26"/>
  <c r="F2158" i="26"/>
  <c r="F2157" i="26"/>
  <c r="F2156" i="26"/>
  <c r="F2155" i="26"/>
  <c r="F2154" i="26"/>
  <c r="F2153" i="26"/>
  <c r="F2152" i="26"/>
  <c r="F2151" i="26"/>
  <c r="F2150" i="26"/>
  <c r="F2149" i="26"/>
  <c r="F2148" i="26"/>
  <c r="F2147" i="26"/>
  <c r="F2146" i="26"/>
  <c r="F2145" i="26"/>
  <c r="F2144" i="26"/>
  <c r="F2143" i="26"/>
  <c r="F2142" i="26"/>
  <c r="F2141" i="26"/>
  <c r="F2140" i="26"/>
  <c r="F2138" i="26"/>
  <c r="F2077" i="26"/>
  <c r="F2137" i="26"/>
  <c r="F2136" i="26"/>
  <c r="F2135" i="26"/>
  <c r="F2134" i="26"/>
  <c r="F2133" i="26"/>
  <c r="F2132" i="26"/>
  <c r="F2131" i="26"/>
  <c r="F2130" i="26"/>
  <c r="F2129" i="26"/>
  <c r="F2128" i="26"/>
  <c r="F2127" i="26"/>
  <c r="F2126" i="26"/>
  <c r="F2125" i="26"/>
  <c r="F2124" i="26"/>
  <c r="F2123" i="26"/>
  <c r="F2122" i="26"/>
  <c r="F2121" i="26"/>
  <c r="F2120" i="26"/>
  <c r="F2119" i="26"/>
  <c r="F2118" i="26"/>
  <c r="F2117" i="26"/>
  <c r="F2116" i="26"/>
  <c r="F2115" i="26"/>
  <c r="F2114" i="26"/>
  <c r="F2113" i="26"/>
  <c r="F2112" i="26"/>
  <c r="F2111" i="26"/>
  <c r="F2110" i="26"/>
  <c r="F2109" i="26"/>
  <c r="F2108" i="26"/>
  <c r="F2107" i="26"/>
  <c r="F2106" i="26"/>
  <c r="F2105" i="26"/>
  <c r="F2104" i="26"/>
  <c r="F2103" i="26"/>
  <c r="F2102" i="26"/>
  <c r="F2101" i="26"/>
  <c r="F2100" i="26"/>
  <c r="F2099" i="26"/>
  <c r="F2098" i="26"/>
  <c r="F2097" i="26"/>
  <c r="F2096" i="26"/>
  <c r="F2095" i="26"/>
  <c r="F2094" i="26"/>
  <c r="F2093" i="26"/>
  <c r="F2092" i="26"/>
  <c r="F2091" i="26"/>
  <c r="F2090" i="26"/>
  <c r="F2089" i="26"/>
  <c r="F2088" i="26"/>
  <c r="F2087" i="26"/>
  <c r="F2086" i="26"/>
  <c r="F2085" i="26"/>
  <c r="F2084" i="26"/>
  <c r="F2083" i="26"/>
  <c r="F2082" i="26"/>
  <c r="F2081" i="26"/>
  <c r="F2080" i="26"/>
  <c r="F2079" i="26"/>
  <c r="F2078" i="26"/>
  <c r="F2076" i="26"/>
  <c r="F2043" i="26"/>
  <c r="F2075" i="26"/>
  <c r="F2074" i="26"/>
  <c r="F2073" i="26"/>
  <c r="F2072" i="26"/>
  <c r="F2071" i="26"/>
  <c r="F2070" i="26"/>
  <c r="F2069" i="26"/>
  <c r="F2068" i="26"/>
  <c r="F2067" i="26"/>
  <c r="F2066" i="26"/>
  <c r="F2065" i="26"/>
  <c r="F2064" i="26"/>
  <c r="F2063" i="26"/>
  <c r="F2062" i="26"/>
  <c r="F2061" i="26"/>
  <c r="F2060" i="26"/>
  <c r="F2059" i="26"/>
  <c r="F2058" i="26"/>
  <c r="F2057" i="26"/>
  <c r="F2056" i="26"/>
  <c r="F2055" i="26"/>
  <c r="F2054" i="26"/>
  <c r="F2053" i="26"/>
  <c r="F2052" i="26"/>
  <c r="F2051" i="26"/>
  <c r="F2050" i="26"/>
  <c r="F2049" i="26"/>
  <c r="F2048" i="26"/>
  <c r="F2047" i="26"/>
  <c r="F2046" i="26"/>
  <c r="F2045" i="26"/>
  <c r="F2044" i="26"/>
  <c r="F2042" i="26"/>
  <c r="F2027" i="26"/>
  <c r="F2041" i="26"/>
  <c r="F2040" i="26"/>
  <c r="F2039" i="26"/>
  <c r="F2038" i="26"/>
  <c r="F2037" i="26"/>
  <c r="F2036" i="26"/>
  <c r="F2035" i="26"/>
  <c r="F2034" i="26"/>
  <c r="F2033" i="26"/>
  <c r="F2032" i="26"/>
  <c r="F2031" i="26"/>
  <c r="F2030" i="26"/>
  <c r="F2029" i="26"/>
  <c r="F2028" i="26"/>
  <c r="F2026" i="26"/>
  <c r="F2354" i="26"/>
  <c r="F2025" i="26"/>
  <c r="F2024" i="26"/>
  <c r="F2023" i="26"/>
  <c r="F2022" i="26"/>
  <c r="F2021" i="26"/>
  <c r="F2020" i="26"/>
  <c r="F2019" i="26"/>
  <c r="F2018" i="26"/>
  <c r="F2017" i="26"/>
  <c r="F2016" i="26"/>
  <c r="F2015" i="26"/>
  <c r="F2014" i="26"/>
  <c r="F2013" i="26"/>
  <c r="F2012" i="26"/>
  <c r="F2011" i="26"/>
  <c r="F2010" i="26"/>
  <c r="F2009" i="26"/>
  <c r="F2008" i="26"/>
  <c r="F2007" i="26"/>
  <c r="F2006" i="26"/>
  <c r="F2005" i="26"/>
  <c r="F2004" i="26"/>
  <c r="F2003" i="26"/>
  <c r="F2002" i="26"/>
  <c r="F2001" i="26"/>
  <c r="F2000" i="26"/>
  <c r="F1999" i="26"/>
  <c r="F1998" i="26"/>
  <c r="F1997" i="26"/>
  <c r="F1996" i="26"/>
  <c r="F1995" i="26"/>
  <c r="F1994" i="26"/>
  <c r="G698" i="1"/>
  <c r="G696" i="1"/>
  <c r="G697" i="1"/>
  <c r="G59" i="27"/>
  <c r="F56" i="27"/>
  <c r="F33" i="27"/>
  <c r="G25" i="27"/>
  <c r="F23" i="27"/>
  <c r="D21" i="27"/>
  <c r="E3" i="27"/>
  <c r="F59" i="27"/>
  <c r="F21" i="27"/>
  <c r="E25" i="27"/>
  <c r="F58" i="27"/>
  <c r="G22" i="27"/>
  <c r="D25" i="27"/>
  <c r="G36" i="27"/>
  <c r="G21" i="27"/>
  <c r="F38" i="27"/>
  <c r="E59" i="27"/>
  <c r="D38" i="27"/>
  <c r="E21" i="27"/>
  <c r="G32" i="27"/>
  <c r="E20" i="27"/>
  <c r="F12" i="27"/>
  <c r="G56" i="27"/>
  <c r="D32" i="27"/>
  <c r="F3" i="27"/>
  <c r="G58" i="27"/>
  <c r="E56" i="27"/>
  <c r="F32" i="27"/>
  <c r="G24" i="27"/>
  <c r="F22" i="27"/>
  <c r="D20" i="27"/>
  <c r="D3" i="27"/>
  <c r="D56" i="27"/>
  <c r="G23" i="27"/>
  <c r="E12" i="27"/>
  <c r="G38" i="27"/>
  <c r="F20" i="27"/>
  <c r="F57" i="27"/>
  <c r="E24" i="27"/>
  <c r="D11" i="27"/>
  <c r="D36" i="27"/>
  <c r="G3" i="27"/>
  <c r="F36" i="27"/>
  <c r="F24" i="27"/>
  <c r="D24" i="27"/>
  <c r="E38" i="27"/>
  <c r="E36" i="27"/>
  <c r="D12" i="27"/>
  <c r="E32" i="27"/>
  <c r="E11" i="27"/>
  <c r="G33" i="27"/>
  <c r="G20" i="27"/>
  <c r="G12" i="27"/>
  <c r="D59" i="27"/>
  <c r="F25" i="27"/>
  <c r="J12" i="27" l="1"/>
  <c r="J38" i="27"/>
  <c r="J25" i="27"/>
  <c r="G9" i="27"/>
  <c r="F9" i="27"/>
  <c r="I42" i="27"/>
  <c r="B60" i="27"/>
  <c r="B63" i="27" s="1"/>
  <c r="F29" i="27"/>
  <c r="E9" i="27"/>
  <c r="H58" i="27"/>
  <c r="D29" i="27"/>
  <c r="J54" i="27"/>
  <c r="J57" i="27"/>
  <c r="H57" i="27"/>
  <c r="D2" i="27"/>
  <c r="H3" i="27"/>
  <c r="H4" i="27" s="1"/>
  <c r="H5" i="27" s="1"/>
  <c r="H6" i="27" s="1"/>
  <c r="H7" i="27" s="1"/>
  <c r="H8" i="27" s="1"/>
  <c r="E2" i="27"/>
  <c r="I3" i="27"/>
  <c r="I4" i="27" s="1"/>
  <c r="I5" i="27" s="1"/>
  <c r="I6" i="27" s="1"/>
  <c r="I7" i="27" s="1"/>
  <c r="I8" i="27" s="1"/>
  <c r="J32" i="27"/>
  <c r="D16" i="27"/>
  <c r="J36" i="27"/>
  <c r="I58" i="27"/>
  <c r="H56" i="27"/>
  <c r="I56" i="27"/>
  <c r="I59" i="27"/>
  <c r="J33" i="27"/>
  <c r="E29" i="27"/>
  <c r="D9" i="27"/>
  <c r="G29" i="27"/>
  <c r="F2" i="27"/>
  <c r="G2" i="27"/>
  <c r="E16" i="27"/>
  <c r="F16" i="27"/>
  <c r="G16" i="27"/>
  <c r="H59" i="27"/>
  <c r="H11" i="27"/>
  <c r="H12" i="27" s="1"/>
  <c r="H13" i="27" s="1"/>
  <c r="H14" i="27" s="1"/>
  <c r="H15" i="27" s="1"/>
  <c r="I32" i="27"/>
  <c r="I33" i="27" s="1"/>
  <c r="I34" i="27" s="1"/>
  <c r="I35" i="27" s="1"/>
  <c r="I36" i="27" s="1"/>
  <c r="I37" i="27" s="1"/>
  <c r="I38" i="27" s="1"/>
  <c r="I39" i="27" s="1"/>
  <c r="I40" i="27" s="1"/>
  <c r="I41" i="27" s="1"/>
  <c r="I11" i="27"/>
  <c r="I12" i="27" s="1"/>
  <c r="I13" i="27" s="1"/>
  <c r="I14" i="27" s="1"/>
  <c r="I15" i="27" s="1"/>
  <c r="H32" i="27"/>
  <c r="H33" i="27" s="1"/>
  <c r="H34" i="27" s="1"/>
  <c r="H35" i="27" s="1"/>
  <c r="H36" i="27" s="1"/>
  <c r="H37" i="27" s="1"/>
  <c r="H38" i="27" s="1"/>
  <c r="H39" i="27" s="1"/>
  <c r="H40" i="27" s="1"/>
  <c r="H41" i="27" s="1"/>
  <c r="H20" i="27"/>
  <c r="H21" i="27" s="1"/>
  <c r="H22" i="27" s="1"/>
  <c r="H23" i="27" s="1"/>
  <c r="H24" i="27" s="1"/>
  <c r="H25" i="27" s="1"/>
  <c r="H26" i="27" s="1"/>
  <c r="H27" i="27" s="1"/>
  <c r="H28" i="27" s="1"/>
  <c r="I20" i="27"/>
  <c r="I21" i="27" s="1"/>
  <c r="I22" i="27" s="1"/>
  <c r="I23" i="27" s="1"/>
  <c r="I24" i="27" s="1"/>
  <c r="I25" i="27" s="1"/>
  <c r="I26" i="27" s="1"/>
  <c r="I27" i="27" s="1"/>
  <c r="I28" i="27" s="1"/>
  <c r="D19" i="2"/>
  <c r="H19" i="2"/>
  <c r="F53" i="1"/>
  <c r="F54" i="1"/>
  <c r="F69" i="1"/>
  <c r="F70" i="1"/>
  <c r="F460" i="1"/>
  <c r="F545" i="1"/>
  <c r="F696" i="1"/>
  <c r="F697" i="1"/>
  <c r="F698" i="1"/>
  <c r="F220" i="1"/>
  <c r="F221" i="1"/>
  <c r="F222" i="1"/>
  <c r="F25" i="1"/>
  <c r="F26" i="1"/>
  <c r="F29" i="1"/>
  <c r="F27" i="1"/>
  <c r="F28" i="1"/>
  <c r="F48" i="1"/>
  <c r="F49" i="1"/>
  <c r="F143" i="1"/>
  <c r="F144" i="1"/>
  <c r="F145" i="1"/>
  <c r="F175" i="1"/>
  <c r="F176" i="1"/>
  <c r="F177" i="1"/>
  <c r="F209" i="1"/>
  <c r="F210" i="1"/>
  <c r="F211" i="1"/>
  <c r="F257" i="1"/>
  <c r="F327" i="1"/>
  <c r="F328" i="1"/>
  <c r="F356" i="1"/>
  <c r="F357" i="1"/>
  <c r="F382" i="1"/>
  <c r="F383" i="1"/>
  <c r="F384" i="1"/>
  <c r="F493" i="1"/>
  <c r="F539" i="1"/>
  <c r="F540" i="1"/>
  <c r="F541" i="1"/>
  <c r="F542" i="1"/>
  <c r="F543" i="1"/>
  <c r="F544" i="1"/>
  <c r="F684" i="1"/>
  <c r="F30" i="1"/>
  <c r="F31" i="1"/>
  <c r="F32" i="1"/>
  <c r="F33" i="1"/>
  <c r="F362" i="1"/>
  <c r="F34" i="1"/>
  <c r="F35" i="1"/>
  <c r="F50" i="1"/>
  <c r="F51" i="1"/>
  <c r="F84" i="1"/>
  <c r="F85" i="1"/>
  <c r="F146" i="1"/>
  <c r="F147" i="1"/>
  <c r="F178" i="1"/>
  <c r="F179" i="1"/>
  <c r="F180" i="1"/>
  <c r="F181" i="1"/>
  <c r="F212" i="1"/>
  <c r="F213" i="1"/>
  <c r="F214" i="1"/>
  <c r="F215" i="1"/>
  <c r="F258" i="1"/>
  <c r="F259" i="1"/>
  <c r="F299" i="1"/>
  <c r="F300" i="1"/>
  <c r="F301" i="1"/>
  <c r="F358" i="1"/>
  <c r="F359" i="1"/>
  <c r="F360" i="1"/>
  <c r="F361" i="1"/>
  <c r="F385" i="1"/>
  <c r="F386" i="1"/>
  <c r="F387" i="1"/>
  <c r="F395" i="1"/>
  <c r="F396" i="1"/>
  <c r="F397" i="1"/>
  <c r="F411" i="1"/>
  <c r="F412" i="1"/>
  <c r="F413" i="1"/>
  <c r="F494" i="1"/>
  <c r="F629" i="1"/>
  <c r="F630" i="1"/>
  <c r="F651" i="1"/>
  <c r="F652" i="1"/>
  <c r="F653" i="1"/>
  <c r="F685" i="1"/>
  <c r="F686" i="1"/>
  <c r="F687" i="1"/>
  <c r="F688" i="1"/>
  <c r="F36" i="1"/>
  <c r="F37" i="1"/>
  <c r="F38" i="1"/>
  <c r="F39" i="1"/>
  <c r="F52" i="1"/>
  <c r="F67" i="1"/>
  <c r="F68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48" i="1"/>
  <c r="F149" i="1"/>
  <c r="F150" i="1"/>
  <c r="F151" i="1"/>
  <c r="F260" i="1"/>
  <c r="F261" i="1"/>
  <c r="F302" i="1"/>
  <c r="F495" i="1"/>
  <c r="F631" i="1"/>
  <c r="F632" i="1"/>
  <c r="F654" i="1"/>
  <c r="F655" i="1"/>
  <c r="F656" i="1"/>
  <c r="F689" i="1"/>
  <c r="F690" i="1"/>
  <c r="F691" i="1"/>
  <c r="F40" i="1"/>
  <c r="F262" i="1"/>
  <c r="F263" i="1"/>
  <c r="F264" i="1"/>
  <c r="F265" i="1"/>
  <c r="F329" i="1"/>
  <c r="F330" i="1"/>
  <c r="F331" i="1"/>
  <c r="F332" i="1"/>
  <c r="F333" i="1"/>
  <c r="F334" i="1"/>
  <c r="F335" i="1"/>
  <c r="F363" i="1"/>
  <c r="F364" i="1"/>
  <c r="F365" i="1"/>
  <c r="F458" i="1"/>
  <c r="F459" i="1"/>
  <c r="F496" i="1"/>
  <c r="F567" i="1"/>
  <c r="F568" i="1"/>
  <c r="F603" i="1"/>
  <c r="F604" i="1"/>
  <c r="F613" i="1"/>
  <c r="F614" i="1"/>
  <c r="F692" i="1"/>
  <c r="F693" i="1"/>
  <c r="F694" i="1"/>
  <c r="F695" i="1"/>
  <c r="F538" i="1"/>
  <c r="F593" i="1"/>
  <c r="F683" i="1"/>
  <c r="D2" i="23"/>
  <c r="D3" i="23" s="1"/>
  <c r="D4" i="23" s="1"/>
  <c r="D5" i="23" s="1"/>
  <c r="D6" i="23" s="1"/>
  <c r="D7" i="23" s="1"/>
  <c r="D8" i="23" s="1"/>
  <c r="D9" i="23" s="1"/>
  <c r="D10" i="23" s="1"/>
  <c r="D11" i="23" s="1"/>
  <c r="D12" i="23" s="1"/>
  <c r="D13" i="23" s="1"/>
  <c r="D14" i="23" s="1"/>
  <c r="D15" i="23" s="1"/>
  <c r="D16" i="23" s="1"/>
  <c r="D17" i="23" s="1"/>
  <c r="D18" i="23" s="1"/>
  <c r="D19" i="23" s="1"/>
  <c r="D20" i="23" s="1"/>
  <c r="D21" i="23" s="1"/>
  <c r="D22" i="23" s="1"/>
  <c r="D23" i="23" s="1"/>
  <c r="D24" i="23" s="1"/>
  <c r="D25" i="23" s="1"/>
  <c r="D26" i="23" s="1"/>
  <c r="D27" i="23" s="1"/>
  <c r="D28" i="23" s="1"/>
  <c r="D29" i="23" s="1"/>
  <c r="D30" i="23" s="1"/>
  <c r="D31" i="23" s="1"/>
  <c r="D32" i="23" s="1"/>
  <c r="D33" i="23" s="1"/>
  <c r="D34" i="23" s="1"/>
  <c r="D35" i="23" s="1"/>
  <c r="D36" i="23" s="1"/>
  <c r="D37" i="23" s="1"/>
  <c r="D38" i="23" s="1"/>
  <c r="D39" i="23" s="1"/>
  <c r="D40" i="23" s="1"/>
  <c r="D41" i="23" s="1"/>
  <c r="D42" i="23" s="1"/>
  <c r="D43" i="23" s="1"/>
  <c r="D44" i="23" s="1"/>
  <c r="D45" i="23" s="1"/>
  <c r="D46" i="23" s="1"/>
  <c r="D47" i="23" s="1"/>
  <c r="D48" i="23" s="1"/>
  <c r="D49" i="23" s="1"/>
  <c r="D50" i="23" s="1"/>
  <c r="D51" i="23" s="1"/>
  <c r="D52" i="23" s="1"/>
  <c r="D53" i="23" s="1"/>
  <c r="G3" i="3"/>
  <c r="G4" i="3" s="1"/>
  <c r="G5" i="3" s="1"/>
  <c r="G6" i="3" s="1"/>
  <c r="G7" i="3" s="1"/>
  <c r="G8" i="3" s="1"/>
  <c r="G9" i="3" s="1"/>
  <c r="G10" i="3" s="1"/>
  <c r="G11" i="3" s="1"/>
  <c r="G12" i="3" s="1"/>
  <c r="G13" i="3" s="1"/>
  <c r="G14" i="3" s="1"/>
  <c r="G15" i="3" s="1"/>
  <c r="G16" i="3" s="1"/>
  <c r="G17" i="3" s="1"/>
  <c r="G18" i="3" s="1"/>
  <c r="G19" i="3" s="1"/>
  <c r="G20" i="3" s="1"/>
  <c r="G21" i="3" s="1"/>
  <c r="G22" i="3" s="1"/>
  <c r="G23" i="3" s="1"/>
  <c r="G24" i="3" s="1"/>
  <c r="G25" i="3" s="1"/>
  <c r="G26" i="3" s="1"/>
  <c r="G27" i="3" s="1"/>
  <c r="G28" i="3" s="1"/>
  <c r="G29" i="3" s="1"/>
  <c r="G30" i="3" s="1"/>
  <c r="G31" i="3" s="1"/>
  <c r="G32" i="3" s="1"/>
  <c r="G33" i="3" s="1"/>
  <c r="G34" i="3" s="1"/>
  <c r="G35" i="3" s="1"/>
  <c r="G36" i="3" s="1"/>
  <c r="G37" i="3" s="1"/>
  <c r="G38" i="3" s="1"/>
  <c r="G39" i="3" s="1"/>
  <c r="G40" i="3" s="1"/>
  <c r="G41" i="3" s="1"/>
  <c r="G42" i="3" s="1"/>
  <c r="G43" i="3" s="1"/>
  <c r="G44" i="3" s="1"/>
  <c r="G45" i="3" s="1"/>
  <c r="G46" i="3" s="1"/>
  <c r="G47" i="3" s="1"/>
  <c r="G48" i="3" s="1"/>
  <c r="G49" i="3" s="1"/>
  <c r="G50" i="3" s="1"/>
  <c r="G51" i="3" s="1"/>
  <c r="G52" i="3" s="1"/>
  <c r="G53" i="3" s="1"/>
  <c r="G54" i="3" s="1"/>
  <c r="G55" i="3" s="1"/>
  <c r="G56" i="3" s="1"/>
  <c r="G57" i="3" s="1"/>
  <c r="G58" i="3" s="1"/>
  <c r="G59" i="3" s="1"/>
  <c r="G60" i="3" s="1"/>
  <c r="G61" i="3" s="1"/>
  <c r="G62" i="3" s="1"/>
  <c r="G63" i="3" s="1"/>
  <c r="G64" i="3" s="1"/>
  <c r="G65" i="3" s="1"/>
  <c r="G66" i="3" s="1"/>
  <c r="G67" i="3" s="1"/>
  <c r="G68" i="3" s="1"/>
  <c r="G69" i="3" s="1"/>
  <c r="G70" i="3" s="1"/>
  <c r="G71" i="3" s="1"/>
  <c r="G72" i="3" s="1"/>
  <c r="G73" i="3" s="1"/>
  <c r="G74" i="3" s="1"/>
  <c r="G75" i="3" s="1"/>
  <c r="G76" i="3" s="1"/>
  <c r="G77" i="3" s="1"/>
  <c r="G78" i="3" s="1"/>
  <c r="G79" i="3" s="1"/>
  <c r="G80" i="3" s="1"/>
  <c r="G81" i="3" s="1"/>
  <c r="G82" i="3" s="1"/>
  <c r="G83" i="3" s="1"/>
  <c r="G84" i="3" s="1"/>
  <c r="G85" i="3" s="1"/>
  <c r="G86" i="3" s="1"/>
  <c r="G87" i="3" s="1"/>
  <c r="G88" i="3" s="1"/>
  <c r="G89" i="3" s="1"/>
  <c r="G90" i="3" s="1"/>
  <c r="G91" i="3" s="1"/>
  <c r="G92" i="3" s="1"/>
  <c r="G93" i="3" s="1"/>
  <c r="G94" i="3" s="1"/>
  <c r="G95" i="3" s="1"/>
  <c r="G96" i="3" s="1"/>
  <c r="G97" i="3" s="1"/>
  <c r="G98" i="3" s="1"/>
  <c r="G99" i="3" s="1"/>
  <c r="G100" i="3" s="1"/>
  <c r="G101" i="3" s="1"/>
  <c r="G102" i="3" s="1"/>
  <c r="G103" i="3" s="1"/>
  <c r="G104" i="3" s="1"/>
  <c r="G105" i="3" s="1"/>
  <c r="G106" i="3" s="1"/>
  <c r="G107" i="3" s="1"/>
  <c r="G108" i="3" s="1"/>
  <c r="F23" i="7" s="1"/>
  <c r="H25" i="2" s="1"/>
  <c r="G19" i="2"/>
  <c r="G2" i="2"/>
  <c r="E3" i="2"/>
  <c r="E8" i="2"/>
  <c r="E2" i="2"/>
  <c r="E19" i="2"/>
  <c r="H9" i="27" l="1"/>
  <c r="I9" i="27"/>
  <c r="H16" i="27"/>
  <c r="G60" i="27"/>
  <c r="F60" i="27"/>
  <c r="H29" i="27"/>
  <c r="E60" i="27"/>
  <c r="I2" i="27"/>
  <c r="D60" i="27"/>
  <c r="H2" i="27"/>
  <c r="I29" i="27"/>
  <c r="I16" i="27"/>
  <c r="E524" i="6"/>
  <c r="F524" i="6"/>
  <c r="H60" i="27" l="1"/>
  <c r="I60" i="27"/>
  <c r="E363" i="6"/>
  <c r="F363" i="6"/>
  <c r="F131" i="6" l="1"/>
  <c r="E131" i="6"/>
  <c r="E78" i="6" l="1"/>
  <c r="F78" i="6"/>
  <c r="F1980" i="26" l="1"/>
  <c r="F1981" i="26"/>
  <c r="F1982" i="26"/>
  <c r="F255" i="1"/>
  <c r="F256" i="1"/>
  <c r="F1876" i="26" l="1"/>
  <c r="F1877" i="26"/>
  <c r="F1878" i="26"/>
  <c r="F1879" i="26"/>
  <c r="F1880" i="26"/>
  <c r="F1881" i="26"/>
  <c r="F1882" i="26"/>
  <c r="F1883" i="26"/>
  <c r="F1884" i="26"/>
  <c r="F1885" i="26"/>
  <c r="F1886" i="26"/>
  <c r="F1887" i="26"/>
  <c r="F1888" i="26"/>
  <c r="F1889" i="26"/>
  <c r="F1890" i="26"/>
  <c r="F1891" i="26"/>
  <c r="F1892" i="26"/>
  <c r="F1893" i="26"/>
  <c r="F204" i="1"/>
  <c r="F205" i="1"/>
  <c r="F206" i="1"/>
  <c r="F132" i="1"/>
  <c r="F133" i="1"/>
  <c r="F134" i="1"/>
  <c r="F135" i="1"/>
  <c r="F169" i="1"/>
  <c r="F170" i="1"/>
  <c r="F171" i="1"/>
  <c r="F172" i="1"/>
  <c r="F173" i="1"/>
  <c r="F174" i="1"/>
  <c r="F201" i="1"/>
  <c r="F202" i="1"/>
  <c r="F1585" i="26"/>
  <c r="F1586" i="26"/>
  <c r="F1587" i="26"/>
  <c r="F1588" i="26"/>
  <c r="F1589" i="26"/>
  <c r="F1590" i="26"/>
  <c r="F1591" i="26"/>
  <c r="F1592" i="26"/>
  <c r="F1593" i="26"/>
  <c r="F1594" i="26"/>
  <c r="F1595" i="26"/>
  <c r="F118" i="1" l="1"/>
  <c r="F119" i="1"/>
  <c r="F120" i="1"/>
  <c r="F121" i="1"/>
  <c r="F122" i="1"/>
  <c r="F154" i="1"/>
  <c r="F155" i="1"/>
  <c r="F156" i="1"/>
  <c r="F157" i="1"/>
  <c r="F158" i="1"/>
  <c r="F1993" i="26"/>
  <c r="F1992" i="26"/>
  <c r="F1991" i="26"/>
  <c r="F1990" i="26"/>
  <c r="F1989" i="26"/>
  <c r="F1988" i="26"/>
  <c r="F1987" i="26"/>
  <c r="F1986" i="26"/>
  <c r="F1985" i="26"/>
  <c r="F1984" i="26"/>
  <c r="F1983" i="26"/>
  <c r="F1979" i="26"/>
  <c r="F1978" i="26"/>
  <c r="F1977" i="26"/>
  <c r="F1976" i="26"/>
  <c r="F1975" i="26"/>
  <c r="F1974" i="26"/>
  <c r="F1973" i="26"/>
  <c r="F1972" i="26"/>
  <c r="F1971" i="26"/>
  <c r="F1970" i="26"/>
  <c r="F1969" i="26"/>
  <c r="F1968" i="26"/>
  <c r="F1967" i="26"/>
  <c r="F1966" i="26"/>
  <c r="F1965" i="26"/>
  <c r="F1964" i="26"/>
  <c r="F1963" i="26"/>
  <c r="F1962" i="26"/>
  <c r="F1961" i="26"/>
  <c r="F1960" i="26"/>
  <c r="F1959" i="26"/>
  <c r="F1958" i="26"/>
  <c r="F1957" i="26"/>
  <c r="F1956" i="26"/>
  <c r="F1955" i="26"/>
  <c r="F1954" i="26"/>
  <c r="F1953" i="26"/>
  <c r="F1952" i="26"/>
  <c r="F1951" i="26"/>
  <c r="F1950" i="26"/>
  <c r="F1949" i="26"/>
  <c r="F1948" i="26"/>
  <c r="F1947" i="26"/>
  <c r="F1946" i="26"/>
  <c r="F1945" i="26"/>
  <c r="F1944" i="26"/>
  <c r="F1943" i="26"/>
  <c r="F1942" i="26"/>
  <c r="F1941" i="26"/>
  <c r="F1940" i="26"/>
  <c r="F1939" i="26"/>
  <c r="F1938" i="26"/>
  <c r="F1937" i="26"/>
  <c r="F1936" i="26"/>
  <c r="F1935" i="26"/>
  <c r="F1934" i="26"/>
  <c r="F1933" i="26"/>
  <c r="F1932" i="26"/>
  <c r="F1931" i="26"/>
  <c r="F1930" i="26"/>
  <c r="F1929" i="26"/>
  <c r="F1928" i="26"/>
  <c r="F1927" i="26"/>
  <c r="F1925" i="26"/>
  <c r="F1924" i="26"/>
  <c r="F1923" i="26"/>
  <c r="F1922" i="26"/>
  <c r="F1921" i="26"/>
  <c r="F1920" i="26"/>
  <c r="F1919" i="26"/>
  <c r="F1918" i="26"/>
  <c r="F1917" i="26"/>
  <c r="F1916" i="26"/>
  <c r="F1915" i="26"/>
  <c r="F1914" i="26"/>
  <c r="F1913" i="26"/>
  <c r="F1912" i="26"/>
  <c r="F1911" i="26"/>
  <c r="F1910" i="26"/>
  <c r="F1909" i="26"/>
  <c r="F1926" i="26"/>
  <c r="F1908" i="26"/>
  <c r="F1907" i="26"/>
  <c r="F1906" i="26"/>
  <c r="F1905" i="26"/>
  <c r="F1904" i="26"/>
  <c r="F1903" i="26"/>
  <c r="F1902" i="26"/>
  <c r="F1901" i="26"/>
  <c r="F1900" i="26"/>
  <c r="F1899" i="26"/>
  <c r="F1898" i="26"/>
  <c r="F1897" i="26"/>
  <c r="F1896" i="26"/>
  <c r="F1895" i="26"/>
  <c r="F1894" i="26"/>
  <c r="F1875" i="26"/>
  <c r="F1874" i="26"/>
  <c r="F1873" i="26"/>
  <c r="F1872" i="26"/>
  <c r="F1871" i="26"/>
  <c r="F1870" i="26"/>
  <c r="F1869" i="26"/>
  <c r="F1868" i="26"/>
  <c r="F1867" i="26"/>
  <c r="F1866" i="26"/>
  <c r="F1865" i="26"/>
  <c r="F1864" i="26"/>
  <c r="F1863" i="26"/>
  <c r="F1862" i="26"/>
  <c r="F1861" i="26"/>
  <c r="F1860" i="26"/>
  <c r="F1859" i="26"/>
  <c r="F1858" i="26"/>
  <c r="F1857" i="26"/>
  <c r="F1856" i="26"/>
  <c r="F1855" i="26"/>
  <c r="F1854" i="26"/>
  <c r="F1853" i="26"/>
  <c r="F1852" i="26"/>
  <c r="F1850" i="26"/>
  <c r="F1849" i="26"/>
  <c r="F1848" i="26"/>
  <c r="F1847" i="26"/>
  <c r="F1846" i="26"/>
  <c r="F1845" i="26"/>
  <c r="F1844" i="26"/>
  <c r="F1843" i="26"/>
  <c r="F1842" i="26"/>
  <c r="F1841" i="26"/>
  <c r="F1840" i="26"/>
  <c r="F1839" i="26"/>
  <c r="F1838" i="26"/>
  <c r="F1837" i="26"/>
  <c r="F1836" i="26"/>
  <c r="F1835" i="26"/>
  <c r="F1834" i="26"/>
  <c r="F1833" i="26"/>
  <c r="F1832" i="26"/>
  <c r="F1831" i="26"/>
  <c r="F1830" i="26"/>
  <c r="F1829" i="26"/>
  <c r="F1828" i="26"/>
  <c r="F1827" i="26"/>
  <c r="F1826" i="26"/>
  <c r="F1825" i="26"/>
  <c r="F1824" i="26"/>
  <c r="F1823" i="26"/>
  <c r="F1822" i="26"/>
  <c r="F1821" i="26"/>
  <c r="F1820" i="26"/>
  <c r="F1819" i="26"/>
  <c r="F1818" i="26"/>
  <c r="F1817" i="26"/>
  <c r="F1816" i="26"/>
  <c r="F1815" i="26"/>
  <c r="F1814" i="26"/>
  <c r="F1813" i="26"/>
  <c r="F1812" i="26"/>
  <c r="F1811" i="26"/>
  <c r="F1810" i="26"/>
  <c r="F1809" i="26"/>
  <c r="F1808" i="26"/>
  <c r="F1807" i="26"/>
  <c r="F1806" i="26"/>
  <c r="F1805" i="26"/>
  <c r="F1804" i="26"/>
  <c r="F1803" i="26"/>
  <c r="F1802" i="26"/>
  <c r="F1801" i="26"/>
  <c r="F1800" i="26"/>
  <c r="F1799" i="26"/>
  <c r="F1798" i="26"/>
  <c r="F1797" i="26"/>
  <c r="F1796" i="26"/>
  <c r="F1795" i="26"/>
  <c r="F1794" i="26"/>
  <c r="F1793" i="26"/>
  <c r="F1792" i="26"/>
  <c r="F1791" i="26"/>
  <c r="F1790" i="26"/>
  <c r="F1789" i="26"/>
  <c r="F1788" i="26"/>
  <c r="F1787" i="26"/>
  <c r="F1786" i="26"/>
  <c r="F1785" i="26"/>
  <c r="F1784" i="26"/>
  <c r="F1783" i="26"/>
  <c r="F1782" i="26"/>
  <c r="F1781" i="26"/>
  <c r="F1780" i="26"/>
  <c r="F1779" i="26"/>
  <c r="F1778" i="26"/>
  <c r="F1777" i="26"/>
  <c r="F1776" i="26"/>
  <c r="F1775" i="26"/>
  <c r="F1774" i="26"/>
  <c r="F1773" i="26"/>
  <c r="F1772" i="26"/>
  <c r="F1771" i="26"/>
  <c r="F1770" i="26"/>
  <c r="F1769" i="26"/>
  <c r="F1768" i="26"/>
  <c r="F1767" i="26"/>
  <c r="F1766" i="26"/>
  <c r="F1765" i="26"/>
  <c r="F1764" i="26"/>
  <c r="F1763" i="26"/>
  <c r="F1762" i="26"/>
  <c r="F1761" i="26"/>
  <c r="F1760" i="26"/>
  <c r="F1759" i="26"/>
  <c r="F1758" i="26"/>
  <c r="F1757" i="26"/>
  <c r="F1756" i="26"/>
  <c r="F1755" i="26"/>
  <c r="F1754" i="26"/>
  <c r="F1753" i="26"/>
  <c r="F1752" i="26"/>
  <c r="F1751" i="26"/>
  <c r="F1750" i="26"/>
  <c r="F1749" i="26"/>
  <c r="F1748" i="26"/>
  <c r="F1747" i="26"/>
  <c r="F1746" i="26"/>
  <c r="F1745" i="26"/>
  <c r="F1744" i="26"/>
  <c r="F1743" i="26"/>
  <c r="F1742" i="26"/>
  <c r="F1741" i="26"/>
  <c r="F1740" i="26"/>
  <c r="F1739" i="26"/>
  <c r="F1738" i="26"/>
  <c r="F1737" i="26"/>
  <c r="F1736" i="26"/>
  <c r="F1735" i="26"/>
  <c r="F1734" i="26"/>
  <c r="F1733" i="26"/>
  <c r="F1732" i="26"/>
  <c r="F1731" i="26"/>
  <c r="F1730" i="26"/>
  <c r="F1729" i="26"/>
  <c r="F1728" i="26"/>
  <c r="F1727" i="26"/>
  <c r="F1726" i="26"/>
  <c r="F1725" i="26"/>
  <c r="F1724" i="26"/>
  <c r="F1723" i="26"/>
  <c r="F1722" i="26"/>
  <c r="F1721" i="26"/>
  <c r="F1720" i="26"/>
  <c r="F1719" i="26"/>
  <c r="F1718" i="26"/>
  <c r="F1717" i="26"/>
  <c r="F1716" i="26"/>
  <c r="F1715" i="26"/>
  <c r="F1714" i="26"/>
  <c r="F1713" i="26"/>
  <c r="F1712" i="26"/>
  <c r="F1711" i="26"/>
  <c r="F1710" i="26"/>
  <c r="F1709" i="26"/>
  <c r="F1708" i="26"/>
  <c r="F1707" i="26"/>
  <c r="F1706" i="26"/>
  <c r="F1705" i="26"/>
  <c r="F1703" i="26"/>
  <c r="F1702" i="26"/>
  <c r="F1701" i="26"/>
  <c r="F1700" i="26"/>
  <c r="F1699" i="26"/>
  <c r="F1698" i="26"/>
  <c r="F1704" i="26"/>
  <c r="F1697" i="26"/>
  <c r="F1696" i="26"/>
  <c r="F1695" i="26"/>
  <c r="F1694" i="26"/>
  <c r="F1693" i="26"/>
  <c r="F1692" i="26"/>
  <c r="F1691" i="26"/>
  <c r="F1690" i="26"/>
  <c r="F1689" i="26"/>
  <c r="F1688" i="26"/>
  <c r="F1687" i="26"/>
  <c r="F1686" i="26"/>
  <c r="F1685" i="26"/>
  <c r="F1684" i="26"/>
  <c r="F1683" i="26"/>
  <c r="F1682" i="26"/>
  <c r="F1681" i="26"/>
  <c r="F1680" i="26"/>
  <c r="F1679" i="26"/>
  <c r="F1678" i="26"/>
  <c r="F1677" i="26"/>
  <c r="F1676" i="26"/>
  <c r="F1675" i="26"/>
  <c r="F1674" i="26"/>
  <c r="F1673" i="26"/>
  <c r="F1672" i="26"/>
  <c r="F1671" i="26"/>
  <c r="F1670" i="26"/>
  <c r="F1669" i="26"/>
  <c r="F1668" i="26"/>
  <c r="F1667" i="26"/>
  <c r="F1666" i="26"/>
  <c r="F1665" i="26"/>
  <c r="F1664" i="26"/>
  <c r="F1663" i="26"/>
  <c r="F1662" i="26"/>
  <c r="F1661" i="26"/>
  <c r="F1660" i="26"/>
  <c r="F1659" i="26"/>
  <c r="F1658" i="26"/>
  <c r="F1657" i="26"/>
  <c r="F1656" i="26"/>
  <c r="F1655" i="26"/>
  <c r="F1654" i="26"/>
  <c r="F1653" i="26"/>
  <c r="F1652" i="26"/>
  <c r="F1628" i="26"/>
  <c r="F1651" i="26"/>
  <c r="F1650" i="26"/>
  <c r="F1649" i="26"/>
  <c r="F1648" i="26"/>
  <c r="F1647" i="26"/>
  <c r="F1646" i="26"/>
  <c r="F1645" i="26"/>
  <c r="F1644" i="26"/>
  <c r="F1643" i="26"/>
  <c r="F1642" i="26"/>
  <c r="F1641" i="26"/>
  <c r="F1640" i="26"/>
  <c r="F1639" i="26"/>
  <c r="F1638" i="26"/>
  <c r="F1637" i="26"/>
  <c r="F1636" i="26"/>
  <c r="F1635" i="26"/>
  <c r="F1634" i="26"/>
  <c r="F1633" i="26"/>
  <c r="F1632" i="26"/>
  <c r="F1631" i="26"/>
  <c r="F1630" i="26"/>
  <c r="F1629" i="26"/>
  <c r="F1627" i="26"/>
  <c r="F1626" i="26"/>
  <c r="F1625" i="26"/>
  <c r="F1624" i="26"/>
  <c r="F1623" i="26"/>
  <c r="F1622" i="26"/>
  <c r="F1621" i="26"/>
  <c r="F1620" i="26"/>
  <c r="F1619" i="26"/>
  <c r="F1618" i="26"/>
  <c r="F1617" i="26"/>
  <c r="F1616" i="26"/>
  <c r="F1615" i="26"/>
  <c r="F1614" i="26"/>
  <c r="F1613" i="26"/>
  <c r="F1612" i="26"/>
  <c r="F1611" i="26"/>
  <c r="F1610" i="26"/>
  <c r="F1609" i="26"/>
  <c r="F1608" i="26"/>
  <c r="F1607" i="26"/>
  <c r="F1606" i="26"/>
  <c r="F1605" i="26"/>
  <c r="F1604" i="26"/>
  <c r="F1603" i="26"/>
  <c r="F1602" i="26"/>
  <c r="F1601" i="26"/>
  <c r="F1600" i="26"/>
  <c r="F1599" i="26"/>
  <c r="F1598" i="26"/>
  <c r="F1597" i="26"/>
  <c r="F1596" i="26"/>
  <c r="F1584" i="26"/>
  <c r="F1583" i="26"/>
  <c r="F1582" i="26"/>
  <c r="F1581" i="26"/>
  <c r="F1580" i="26"/>
  <c r="F1579" i="26"/>
  <c r="F1578" i="26"/>
  <c r="F1577" i="26"/>
  <c r="F1576" i="26"/>
  <c r="F1575" i="26"/>
  <c r="F1574" i="26"/>
  <c r="F1573" i="26"/>
  <c r="F1572" i="26"/>
  <c r="F1571" i="26"/>
  <c r="F1570" i="26"/>
  <c r="F1569" i="26"/>
  <c r="F1568" i="26"/>
  <c r="F1567" i="26"/>
  <c r="F1566" i="26"/>
  <c r="F1565" i="26"/>
  <c r="F1564" i="26"/>
  <c r="F1563" i="26"/>
  <c r="F1562" i="26"/>
  <c r="F1561" i="26"/>
  <c r="F1560" i="26"/>
  <c r="F1559" i="26"/>
  <c r="F1558" i="26"/>
  <c r="F1557" i="26"/>
  <c r="F1556" i="26"/>
  <c r="F1555" i="26"/>
  <c r="F1554" i="26"/>
  <c r="F1553" i="26"/>
  <c r="F1552" i="26"/>
  <c r="F1551" i="26"/>
  <c r="F1550" i="26"/>
  <c r="F1549" i="26"/>
  <c r="F1548" i="26"/>
  <c r="F1547" i="26"/>
  <c r="F1546" i="26"/>
  <c r="F1545" i="26"/>
  <c r="F1544" i="26"/>
  <c r="F1543" i="26"/>
  <c r="F1542" i="26"/>
  <c r="F1541" i="26"/>
  <c r="F1540" i="26"/>
  <c r="F1539" i="26"/>
  <c r="F1538" i="26"/>
  <c r="F1537" i="26"/>
  <c r="F1536" i="26"/>
  <c r="F1535" i="26"/>
  <c r="F1534" i="26"/>
  <c r="F1533" i="26"/>
  <c r="F1532" i="26"/>
  <c r="F1531" i="26"/>
  <c r="F1530" i="26"/>
  <c r="F1529" i="26"/>
  <c r="F1528" i="26"/>
  <c r="F1527" i="26"/>
  <c r="F1526" i="26"/>
  <c r="F1525" i="26"/>
  <c r="F1524" i="26"/>
  <c r="F1523" i="26"/>
  <c r="F1522" i="26"/>
  <c r="F1521" i="26"/>
  <c r="F1520" i="26"/>
  <c r="F1519" i="26"/>
  <c r="F1518" i="26"/>
  <c r="F1517" i="26"/>
  <c r="F1516" i="26"/>
  <c r="F1515" i="26"/>
  <c r="F1514" i="26"/>
  <c r="F1513" i="26"/>
  <c r="F1512" i="26"/>
  <c r="F1511" i="26"/>
  <c r="F1510" i="26"/>
  <c r="F1509" i="26"/>
  <c r="F1508" i="26"/>
  <c r="F1507" i="26"/>
  <c r="F1506" i="26"/>
  <c r="F1505" i="26"/>
  <c r="F1504" i="26"/>
  <c r="F1503" i="26"/>
  <c r="F1502" i="26"/>
  <c r="F1501" i="26"/>
  <c r="F1500" i="26"/>
  <c r="F1499" i="26"/>
  <c r="F1498" i="26"/>
  <c r="F1497" i="26"/>
  <c r="F1496" i="26"/>
  <c r="F1495" i="26"/>
  <c r="F1494" i="26"/>
  <c r="F1493" i="26"/>
  <c r="F1492" i="26"/>
  <c r="F1491" i="26"/>
  <c r="F1490" i="26"/>
  <c r="F1489" i="26"/>
  <c r="F1488" i="26"/>
  <c r="F1487" i="26"/>
  <c r="F1486" i="26"/>
  <c r="F1485" i="26"/>
  <c r="F1484" i="26"/>
  <c r="F1483" i="26"/>
  <c r="F1482" i="26"/>
  <c r="F1481" i="26"/>
  <c r="F1480" i="26"/>
  <c r="F1479" i="26"/>
  <c r="F1478" i="26"/>
  <c r="F1477" i="26"/>
  <c r="F1476" i="26"/>
  <c r="F1475" i="26"/>
  <c r="F1474" i="26"/>
  <c r="F1473" i="26"/>
  <c r="F1472" i="26"/>
  <c r="F1471" i="26"/>
  <c r="F1470" i="26"/>
  <c r="F1469" i="26"/>
  <c r="F1468" i="26"/>
  <c r="F1467" i="26"/>
  <c r="F1466" i="26"/>
  <c r="F1465" i="26"/>
  <c r="F1464" i="26"/>
  <c r="F1463" i="26"/>
  <c r="F1462" i="26"/>
  <c r="F1461" i="26"/>
  <c r="G1460" i="26"/>
  <c r="F1460" i="26" s="1"/>
  <c r="G1459" i="26"/>
  <c r="F1459" i="26" s="1"/>
  <c r="F1458" i="26"/>
  <c r="F1457" i="26"/>
  <c r="F1456" i="26"/>
  <c r="F1455" i="26"/>
  <c r="F1454" i="26"/>
  <c r="F1453" i="26"/>
  <c r="F1452" i="26"/>
  <c r="F1451" i="26"/>
  <c r="F1450" i="26"/>
  <c r="F1449" i="26"/>
  <c r="F1448" i="26"/>
  <c r="F1447" i="26"/>
  <c r="F1446" i="26"/>
  <c r="F1445" i="26"/>
  <c r="F1444" i="26"/>
  <c r="F1443" i="26"/>
  <c r="F1442" i="26"/>
  <c r="F1441" i="26"/>
  <c r="F1440" i="26"/>
  <c r="F1438" i="26"/>
  <c r="F1437" i="26"/>
  <c r="F1436" i="26"/>
  <c r="F1435" i="26"/>
  <c r="F1434" i="26"/>
  <c r="F1433" i="26"/>
  <c r="F1432" i="26"/>
  <c r="F1431" i="26"/>
  <c r="F1430" i="26"/>
  <c r="F1429" i="26"/>
  <c r="F1428" i="26"/>
  <c r="F1427" i="26"/>
  <c r="F1426" i="26"/>
  <c r="F1425" i="26"/>
  <c r="F1424" i="26"/>
  <c r="F1423" i="26"/>
  <c r="F1422" i="26"/>
  <c r="F1421" i="26"/>
  <c r="F1420" i="26"/>
  <c r="F1419" i="26"/>
  <c r="F1418" i="26"/>
  <c r="F1417" i="26"/>
  <c r="F1416" i="26"/>
  <c r="F1415" i="26"/>
  <c r="F1414" i="26"/>
  <c r="F1413" i="26"/>
  <c r="F1412" i="26"/>
  <c r="F1411" i="26"/>
  <c r="F1410" i="26"/>
  <c r="F1409" i="26"/>
  <c r="F1408" i="26"/>
  <c r="F1407" i="26"/>
  <c r="F1406" i="26"/>
  <c r="F1405" i="26"/>
  <c r="F1404" i="26"/>
  <c r="F1403" i="26"/>
  <c r="F1402" i="26"/>
  <c r="F1401" i="26"/>
  <c r="F1400" i="26"/>
  <c r="F1399" i="26"/>
  <c r="F1398" i="26"/>
  <c r="F1397" i="26"/>
  <c r="F1396" i="26"/>
  <c r="F1395" i="26"/>
  <c r="F1394" i="26"/>
  <c r="F1393" i="26"/>
  <c r="F1392" i="26"/>
  <c r="F1391" i="26"/>
  <c r="F1390" i="26"/>
  <c r="F1389" i="26"/>
  <c r="F1388" i="26"/>
  <c r="F1387" i="26"/>
  <c r="F1386" i="26"/>
  <c r="F1385" i="26"/>
  <c r="F1384" i="26"/>
  <c r="F1383" i="26"/>
  <c r="F1382" i="26"/>
  <c r="F1381" i="26"/>
  <c r="F1380" i="26"/>
  <c r="F1379" i="26"/>
  <c r="F1378" i="26"/>
  <c r="F1377" i="26"/>
  <c r="F1376" i="26"/>
  <c r="F1375" i="26"/>
  <c r="F1374" i="26"/>
  <c r="C25" i="2" l="1"/>
  <c r="D25" i="2"/>
  <c r="E25" i="2"/>
  <c r="F499" i="1" l="1"/>
  <c r="F424" i="1"/>
  <c r="F425" i="1"/>
  <c r="F584" i="1"/>
  <c r="F585" i="1"/>
  <c r="F597" i="1"/>
  <c r="F82" i="1"/>
  <c r="F83" i="1"/>
  <c r="F129" i="1"/>
  <c r="F130" i="1"/>
  <c r="F131" i="1"/>
  <c r="F203" i="1"/>
  <c r="F207" i="1"/>
  <c r="F514" i="1"/>
  <c r="F515" i="1"/>
  <c r="F491" i="1"/>
  <c r="F517" i="1"/>
  <c r="F254" i="1"/>
  <c r="F428" i="1"/>
  <c r="F640" i="1"/>
  <c r="F19" i="1"/>
  <c r="F284" i="1"/>
  <c r="F307" i="1"/>
  <c r="F442" i="1"/>
  <c r="F443" i="1"/>
  <c r="F444" i="1"/>
  <c r="F470" i="1"/>
  <c r="F240" i="1"/>
  <c r="F241" i="1"/>
  <c r="F598" i="1"/>
  <c r="F601" i="1"/>
  <c r="F208" i="1"/>
  <c r="F244" i="1"/>
  <c r="F245" i="1"/>
  <c r="F41" i="1"/>
  <c r="F55" i="1"/>
  <c r="F304" i="1"/>
  <c r="F641" i="1"/>
  <c r="F642" i="1"/>
  <c r="F602" i="1"/>
  <c r="F611" i="1"/>
  <c r="F612" i="1"/>
  <c r="F627" i="1"/>
  <c r="F628" i="1"/>
  <c r="F645" i="1"/>
  <c r="F646" i="1"/>
  <c r="F647" i="1"/>
  <c r="F429" i="1"/>
  <c r="F523" i="1"/>
  <c r="F524" i="1"/>
  <c r="F546" i="1"/>
  <c r="F594" i="1"/>
  <c r="F595" i="1"/>
  <c r="F599" i="1"/>
  <c r="F152" i="1"/>
  <c r="F153" i="1"/>
  <c r="F643" i="1"/>
  <c r="F644" i="1"/>
  <c r="F663" i="1"/>
  <c r="F664" i="1"/>
  <c r="F665" i="1"/>
  <c r="F230" i="1"/>
  <c r="F231" i="1"/>
  <c r="F232" i="1"/>
  <c r="F233" i="1"/>
  <c r="F346" i="1"/>
  <c r="F372" i="1"/>
  <c r="F373" i="1"/>
  <c r="F374" i="1"/>
  <c r="F375" i="1"/>
  <c r="F376" i="1"/>
  <c r="F505" i="1"/>
  <c r="F506" i="1"/>
  <c r="F527" i="1"/>
  <c r="F528" i="1"/>
  <c r="F529" i="1"/>
  <c r="F530" i="1"/>
  <c r="F127" i="1"/>
  <c r="F128" i="1"/>
  <c r="F160" i="1"/>
  <c r="F161" i="1"/>
  <c r="F162" i="1"/>
  <c r="F351" i="1"/>
  <c r="F352" i="1"/>
  <c r="F353" i="1"/>
  <c r="F354" i="1"/>
  <c r="F355" i="1"/>
  <c r="F378" i="1"/>
  <c r="F480" i="1"/>
  <c r="F481" i="1"/>
  <c r="F482" i="1"/>
  <c r="F291" i="1"/>
  <c r="F292" i="1"/>
  <c r="F293" i="1"/>
  <c r="F294" i="1"/>
  <c r="F303" i="1"/>
  <c r="F547" i="1"/>
  <c r="F552" i="1"/>
  <c r="F600" i="1"/>
  <c r="F605" i="1"/>
  <c r="F606" i="1"/>
  <c r="F185" i="1"/>
  <c r="F186" i="1"/>
  <c r="F187" i="1"/>
  <c r="F666" i="1"/>
  <c r="F699" i="1"/>
  <c r="F234" i="1"/>
  <c r="F235" i="1"/>
  <c r="F275" i="1"/>
  <c r="F377" i="1"/>
  <c r="F389" i="1"/>
  <c r="F390" i="1"/>
  <c r="F391" i="1"/>
  <c r="F392" i="1"/>
  <c r="F400" i="1"/>
  <c r="F531" i="1"/>
  <c r="F532" i="1"/>
  <c r="F563" i="1"/>
  <c r="F564" i="1"/>
  <c r="F163" i="1"/>
  <c r="F164" i="1"/>
  <c r="F165" i="1"/>
  <c r="F166" i="1"/>
  <c r="F167" i="1"/>
  <c r="F168" i="1"/>
  <c r="F196" i="1"/>
  <c r="F197" i="1"/>
  <c r="F379" i="1"/>
  <c r="F380" i="1"/>
  <c r="F381" i="1"/>
  <c r="F393" i="1"/>
  <c r="F394" i="1"/>
  <c r="F404" i="1"/>
  <c r="F405" i="1"/>
  <c r="F406" i="1"/>
  <c r="F407" i="1"/>
  <c r="F408" i="1"/>
  <c r="F483" i="1"/>
  <c r="F507" i="1"/>
  <c r="F508" i="1"/>
  <c r="F252" i="1"/>
  <c r="F296" i="1"/>
  <c r="F700" i="1"/>
  <c r="F701" i="1"/>
  <c r="F702" i="1"/>
  <c r="F308" i="1"/>
  <c r="F401" i="1"/>
  <c r="F402" i="1"/>
  <c r="F403" i="1"/>
  <c r="F416" i="1"/>
  <c r="F417" i="1"/>
  <c r="F418" i="1"/>
  <c r="F576" i="1"/>
  <c r="F577" i="1"/>
  <c r="F578" i="1"/>
  <c r="F667" i="1"/>
  <c r="F198" i="1"/>
  <c r="F199" i="1"/>
  <c r="F200" i="1"/>
  <c r="F709" i="1"/>
  <c r="F45" i="1"/>
  <c r="F46" i="1"/>
  <c r="F703" i="1"/>
  <c r="F704" i="1"/>
  <c r="F705" i="1"/>
  <c r="F276" i="1"/>
  <c r="F277" i="1"/>
  <c r="F278" i="1"/>
  <c r="F279" i="1"/>
  <c r="F280" i="1"/>
  <c r="F281" i="1"/>
  <c r="F282" i="1"/>
  <c r="F283" i="1"/>
  <c r="F419" i="1"/>
  <c r="F420" i="1"/>
  <c r="F421" i="1"/>
  <c r="F437" i="1"/>
  <c r="F438" i="1"/>
  <c r="F439" i="1"/>
  <c r="F440" i="1"/>
  <c r="F441" i="1"/>
  <c r="F668" i="1"/>
  <c r="F669" i="1"/>
  <c r="F670" i="1"/>
  <c r="F671" i="1"/>
  <c r="F672" i="1"/>
  <c r="F236" i="1"/>
  <c r="F295" i="1"/>
  <c r="F516" i="1"/>
  <c r="F321" i="1"/>
  <c r="F320" i="1"/>
  <c r="F322" i="1"/>
  <c r="F323" i="1"/>
  <c r="F451" i="1"/>
  <c r="F297" i="1"/>
  <c r="F298" i="1"/>
  <c r="F324" i="1"/>
  <c r="F47" i="1"/>
  <c r="F136" i="1"/>
  <c r="F137" i="1"/>
  <c r="F430" i="1"/>
  <c r="F492" i="1"/>
  <c r="F617" i="1"/>
  <c r="F618" i="1"/>
  <c r="F619" i="1"/>
  <c r="F620" i="1"/>
  <c r="F14" i="1"/>
  <c r="F15" i="1"/>
  <c r="F467" i="1"/>
  <c r="F468" i="1"/>
  <c r="F16" i="1"/>
  <c r="F17" i="1"/>
  <c r="F18" i="1"/>
  <c r="F237" i="1"/>
  <c r="F238" i="1"/>
  <c r="F239" i="1"/>
  <c r="F409" i="1"/>
  <c r="F410" i="1"/>
  <c r="F422" i="1"/>
  <c r="F423" i="1"/>
  <c r="F509" i="1"/>
  <c r="F510" i="1"/>
  <c r="F511" i="1"/>
  <c r="F565" i="1"/>
  <c r="F566" i="1"/>
  <c r="F579" i="1"/>
  <c r="F580" i="1"/>
  <c r="F581" i="1"/>
  <c r="F582" i="1"/>
  <c r="F583" i="1"/>
  <c r="F710" i="1"/>
  <c r="F22" i="1"/>
  <c r="F64" i="1"/>
  <c r="F65" i="1"/>
  <c r="F66" i="1"/>
  <c r="F81" i="1"/>
  <c r="F452" i="1"/>
  <c r="F453" i="1"/>
  <c r="F454" i="1"/>
  <c r="F484" i="1"/>
  <c r="F485" i="1"/>
  <c r="F486" i="1"/>
  <c r="F487" i="1"/>
  <c r="F513" i="1"/>
  <c r="F325" i="1"/>
  <c r="F326" i="1"/>
  <c r="F455" i="1"/>
  <c r="F456" i="1"/>
  <c r="F457" i="1"/>
  <c r="F488" i="1"/>
  <c r="F489" i="1"/>
  <c r="F490" i="1"/>
  <c r="F138" i="1"/>
  <c r="F139" i="1"/>
  <c r="F140" i="1"/>
  <c r="F141" i="1"/>
  <c r="F142" i="1"/>
  <c r="F253" i="1"/>
  <c r="F188" i="1"/>
  <c r="F636" i="1"/>
  <c r="F219" i="1"/>
  <c r="F637" i="1"/>
  <c r="F638" i="1"/>
  <c r="F639" i="1"/>
  <c r="F44" i="1"/>
  <c r="F469" i="1"/>
  <c r="F610" i="1"/>
  <c r="F621" i="1"/>
  <c r="F159" i="1"/>
  <c r="F189" i="1"/>
  <c r="F190" i="1"/>
  <c r="F191" i="1"/>
  <c r="F192" i="1"/>
  <c r="F193" i="1"/>
  <c r="F340" i="1"/>
  <c r="F341" i="1"/>
  <c r="F342" i="1"/>
  <c r="F343" i="1"/>
  <c r="F475" i="1"/>
  <c r="F476" i="1"/>
  <c r="F502" i="1"/>
  <c r="F62" i="1"/>
  <c r="F63" i="1"/>
  <c r="F78" i="1"/>
  <c r="F79" i="1"/>
  <c r="F80" i="1"/>
  <c r="F123" i="1"/>
  <c r="F124" i="1"/>
  <c r="F313" i="1"/>
  <c r="F314" i="1"/>
  <c r="F315" i="1"/>
  <c r="F316" i="1"/>
  <c r="F317" i="1"/>
  <c r="F446" i="1"/>
  <c r="F447" i="1"/>
  <c r="F556" i="1"/>
  <c r="F557" i="1"/>
  <c r="F558" i="1"/>
  <c r="F679" i="1"/>
  <c r="F681" i="1"/>
  <c r="F23" i="1"/>
  <c r="F24" i="1"/>
  <c r="F521" i="1"/>
  <c r="F522" i="1"/>
  <c r="F535" i="1"/>
  <c r="F269" i="1"/>
  <c r="F464" i="1"/>
  <c r="F497" i="1"/>
  <c r="F498" i="1"/>
  <c r="F560" i="1"/>
  <c r="F569" i="1"/>
  <c r="F570" i="1"/>
  <c r="F571" i="1"/>
  <c r="F572" i="1"/>
  <c r="F658" i="1"/>
  <c r="F659" i="1"/>
  <c r="F5" i="1"/>
  <c r="F6" i="1"/>
  <c r="F465" i="1"/>
  <c r="F466" i="1"/>
  <c r="F11" i="1"/>
  <c r="F12" i="1"/>
  <c r="F13" i="1"/>
  <c r="F306" i="1"/>
  <c r="F435" i="1"/>
  <c r="F436" i="1"/>
  <c r="F622" i="1"/>
  <c r="F623" i="1"/>
  <c r="F624" i="1"/>
  <c r="F625" i="1"/>
  <c r="F626" i="1"/>
  <c r="F194" i="1"/>
  <c r="F195" i="1"/>
  <c r="F225" i="1"/>
  <c r="F226" i="1"/>
  <c r="F227" i="1"/>
  <c r="F228" i="1"/>
  <c r="F229" i="1"/>
  <c r="F344" i="1"/>
  <c r="F345" i="1"/>
  <c r="F503" i="1"/>
  <c r="F504" i="1"/>
  <c r="F125" i="1"/>
  <c r="F126" i="1"/>
  <c r="F318" i="1"/>
  <c r="F319" i="1"/>
  <c r="F347" i="1"/>
  <c r="F348" i="1"/>
  <c r="F349" i="1"/>
  <c r="F448" i="1"/>
  <c r="F449" i="1"/>
  <c r="F450" i="1"/>
  <c r="F477" i="1"/>
  <c r="F478" i="1"/>
  <c r="F479" i="1"/>
  <c r="F350" i="1"/>
  <c r="F680" i="1"/>
  <c r="F536" i="1"/>
  <c r="F537" i="1"/>
  <c r="F270" i="1"/>
  <c r="D10" i="5"/>
  <c r="M8" i="2"/>
  <c r="M16" i="2"/>
  <c r="M13" i="2"/>
  <c r="M3" i="2"/>
  <c r="M9" i="2"/>
  <c r="M10" i="2"/>
  <c r="M11" i="2"/>
  <c r="E11" i="2"/>
  <c r="E10" i="2"/>
  <c r="E9" i="2"/>
  <c r="H683" i="6" l="1"/>
  <c r="H684" i="6" s="1"/>
  <c r="H685" i="6" s="1"/>
  <c r="H686" i="6" s="1"/>
  <c r="H687" i="6" s="1"/>
  <c r="H688" i="6" s="1"/>
  <c r="H689" i="6" s="1"/>
  <c r="H690" i="6" s="1"/>
  <c r="H691" i="6" s="1"/>
  <c r="H692" i="6" s="1"/>
  <c r="H693" i="6" s="1"/>
  <c r="H694" i="6" s="1"/>
  <c r="H695" i="6" s="1"/>
  <c r="H696" i="6" s="1"/>
  <c r="H697" i="6" s="1"/>
  <c r="H698" i="6" s="1"/>
  <c r="H699" i="6" s="1"/>
  <c r="H700" i="6" s="1"/>
  <c r="H701" i="6" s="1"/>
  <c r="H702" i="6" s="1"/>
  <c r="H703" i="6" s="1"/>
  <c r="H704" i="6" s="1"/>
  <c r="H705" i="6" s="1"/>
  <c r="H706" i="6" s="1"/>
  <c r="H707" i="6" s="1"/>
  <c r="H708" i="6" s="1"/>
  <c r="H709" i="6" s="1"/>
  <c r="H710" i="6" s="1"/>
  <c r="H711" i="6" s="1"/>
  <c r="H712" i="6" s="1"/>
  <c r="H713" i="6" s="1"/>
  <c r="H714" i="6" s="1"/>
  <c r="H715" i="6" s="1"/>
  <c r="H716" i="6" s="1"/>
  <c r="H717" i="6" s="1"/>
  <c r="H718" i="6" s="1"/>
  <c r="H719" i="6" s="1"/>
  <c r="H720" i="6" s="1"/>
  <c r="H721" i="6" s="1"/>
  <c r="H722" i="6" s="1"/>
  <c r="E723" i="6"/>
  <c r="F723" i="6"/>
  <c r="D3" i="2"/>
  <c r="D8" i="2"/>
  <c r="D10" i="2"/>
  <c r="D9" i="2"/>
  <c r="F635" i="6" l="1"/>
  <c r="E635" i="6"/>
  <c r="H606" i="6"/>
  <c r="H607" i="6" s="1"/>
  <c r="H608" i="6" s="1"/>
  <c r="H609" i="6" s="1"/>
  <c r="H610" i="6" s="1"/>
  <c r="H611" i="6" s="1"/>
  <c r="H612" i="6" s="1"/>
  <c r="H613" i="6" s="1"/>
  <c r="H614" i="6" s="1"/>
  <c r="H615" i="6" s="1"/>
  <c r="H616" i="6" s="1"/>
  <c r="H617" i="6" s="1"/>
  <c r="H618" i="6" s="1"/>
  <c r="H619" i="6" s="1"/>
  <c r="H620" i="6" s="1"/>
  <c r="H621" i="6" s="1"/>
  <c r="H622" i="6" s="1"/>
  <c r="H623" i="6" s="1"/>
  <c r="H624" i="6" s="1"/>
  <c r="H625" i="6" s="1"/>
  <c r="H626" i="6" s="1"/>
  <c r="H627" i="6" s="1"/>
  <c r="H628" i="6" s="1"/>
  <c r="H629" i="6" s="1"/>
  <c r="H630" i="6" s="1"/>
  <c r="H631" i="6" s="1"/>
  <c r="H632" i="6" s="1"/>
  <c r="H633" i="6" s="1"/>
  <c r="H634" i="6" s="1"/>
  <c r="F600" i="6" l="1"/>
  <c r="E600" i="6"/>
  <c r="H530" i="6"/>
  <c r="H531" i="6" s="1"/>
  <c r="H532" i="6" s="1"/>
  <c r="H533" i="6" s="1"/>
  <c r="H534" i="6" s="1"/>
  <c r="H535" i="6" s="1"/>
  <c r="H536" i="6" s="1"/>
  <c r="H537" i="6" s="1"/>
  <c r="H538" i="6" s="1"/>
  <c r="H539" i="6" s="1"/>
  <c r="H540" i="6" s="1"/>
  <c r="H541" i="6" s="1"/>
  <c r="H542" i="6" s="1"/>
  <c r="H543" i="6" s="1"/>
  <c r="H544" i="6" s="1"/>
  <c r="H545" i="6" s="1"/>
  <c r="H546" i="6" s="1"/>
  <c r="H547" i="6" s="1"/>
  <c r="H548" i="6" s="1"/>
  <c r="H549" i="6" s="1"/>
  <c r="H550" i="6" s="1"/>
  <c r="H551" i="6" s="1"/>
  <c r="H552" i="6" s="1"/>
  <c r="H553" i="6" s="1"/>
  <c r="H554" i="6" s="1"/>
  <c r="H555" i="6" s="1"/>
  <c r="H556" i="6" s="1"/>
  <c r="H557" i="6" s="1"/>
  <c r="H558" i="6" s="1"/>
  <c r="H559" i="6" s="1"/>
  <c r="H560" i="6" s="1"/>
  <c r="H561" i="6" s="1"/>
  <c r="H562" i="6" s="1"/>
  <c r="H563" i="6" s="1"/>
  <c r="H564" i="6" s="1"/>
  <c r="H565" i="6" s="1"/>
  <c r="H566" i="6" s="1"/>
  <c r="H567" i="6" s="1"/>
  <c r="H568" i="6" s="1"/>
  <c r="H569" i="6" s="1"/>
  <c r="H570" i="6" s="1"/>
  <c r="H571" i="6" s="1"/>
  <c r="H572" i="6" s="1"/>
  <c r="H573" i="6" s="1"/>
  <c r="H574" i="6" s="1"/>
  <c r="H575" i="6" s="1"/>
  <c r="H576" i="6" s="1"/>
  <c r="H577" i="6" s="1"/>
  <c r="H578" i="6" s="1"/>
  <c r="H579" i="6" s="1"/>
  <c r="H580" i="6" s="1"/>
  <c r="H581" i="6" s="1"/>
  <c r="H582" i="6" s="1"/>
  <c r="H583" i="6" s="1"/>
  <c r="H584" i="6" s="1"/>
  <c r="H585" i="6" s="1"/>
  <c r="H586" i="6" s="1"/>
  <c r="H587" i="6" s="1"/>
  <c r="H588" i="6" s="1"/>
  <c r="H589" i="6" s="1"/>
  <c r="H590" i="6" s="1"/>
  <c r="H591" i="6" s="1"/>
  <c r="H592" i="6" s="1"/>
  <c r="H593" i="6" s="1"/>
  <c r="H594" i="6" s="1"/>
  <c r="H595" i="6" s="1"/>
  <c r="H596" i="6" s="1"/>
  <c r="H597" i="6" s="1"/>
  <c r="H598" i="6" s="1"/>
  <c r="H599" i="6" s="1"/>
  <c r="H369" i="6" l="1"/>
  <c r="H370" i="6" s="1"/>
  <c r="H371" i="6" s="1"/>
  <c r="H372" i="6" s="1"/>
  <c r="H373" i="6" s="1"/>
  <c r="H374" i="6" s="1"/>
  <c r="H375" i="6" s="1"/>
  <c r="H376" i="6" s="1"/>
  <c r="H377" i="6" s="1"/>
  <c r="H378" i="6" s="1"/>
  <c r="H379" i="6" s="1"/>
  <c r="H380" i="6" s="1"/>
  <c r="H381" i="6" s="1"/>
  <c r="H382" i="6" s="1"/>
  <c r="H383" i="6" s="1"/>
  <c r="H384" i="6" s="1"/>
  <c r="H385" i="6" s="1"/>
  <c r="H386" i="6" s="1"/>
  <c r="H387" i="6" s="1"/>
  <c r="H388" i="6" s="1"/>
  <c r="H389" i="6" s="1"/>
  <c r="H390" i="6" s="1"/>
  <c r="H391" i="6" s="1"/>
  <c r="H392" i="6" s="1"/>
  <c r="H393" i="6" s="1"/>
  <c r="H394" i="6" s="1"/>
  <c r="H395" i="6" s="1"/>
  <c r="H396" i="6" s="1"/>
  <c r="H397" i="6" s="1"/>
  <c r="H398" i="6" s="1"/>
  <c r="H399" i="6" s="1"/>
  <c r="H400" i="6" s="1"/>
  <c r="H401" i="6" s="1"/>
  <c r="H402" i="6" s="1"/>
  <c r="H403" i="6" s="1"/>
  <c r="H404" i="6" s="1"/>
  <c r="H405" i="6" s="1"/>
  <c r="H406" i="6" s="1"/>
  <c r="H407" i="6" s="1"/>
  <c r="H408" i="6" s="1"/>
  <c r="H409" i="6" s="1"/>
  <c r="H410" i="6" s="1"/>
  <c r="H411" i="6" s="1"/>
  <c r="H412" i="6" s="1"/>
  <c r="H413" i="6" s="1"/>
  <c r="H414" i="6" s="1"/>
  <c r="H415" i="6" s="1"/>
  <c r="H416" i="6" s="1"/>
  <c r="H417" i="6" s="1"/>
  <c r="H418" i="6" s="1"/>
  <c r="H419" i="6" s="1"/>
  <c r="H420" i="6" s="1"/>
  <c r="H421" i="6" s="1"/>
  <c r="H422" i="6" s="1"/>
  <c r="H423" i="6" s="1"/>
  <c r="H424" i="6" s="1"/>
  <c r="H425" i="6" s="1"/>
  <c r="H426" i="6" s="1"/>
  <c r="H427" i="6" s="1"/>
  <c r="H428" i="6" s="1"/>
  <c r="H429" i="6" s="1"/>
  <c r="H430" i="6" s="1"/>
  <c r="H431" i="6" s="1"/>
  <c r="H432" i="6" s="1"/>
  <c r="H433" i="6" s="1"/>
  <c r="H434" i="6" s="1"/>
  <c r="H435" i="6" s="1"/>
  <c r="H436" i="6" s="1"/>
  <c r="H437" i="6" s="1"/>
  <c r="H438" i="6" s="1"/>
  <c r="H439" i="6" s="1"/>
  <c r="H440" i="6" s="1"/>
  <c r="H441" i="6" s="1"/>
  <c r="H442" i="6" s="1"/>
  <c r="H443" i="6" s="1"/>
  <c r="H444" i="6" s="1"/>
  <c r="H445" i="6" s="1"/>
  <c r="H446" i="6" s="1"/>
  <c r="H447" i="6" s="1"/>
  <c r="H448" i="6" s="1"/>
  <c r="H449" i="6" s="1"/>
  <c r="H450" i="6" s="1"/>
  <c r="H451" i="6" s="1"/>
  <c r="H452" i="6" s="1"/>
  <c r="H453" i="6" s="1"/>
  <c r="H454" i="6" s="1"/>
  <c r="H455" i="6" s="1"/>
  <c r="H456" i="6" s="1"/>
  <c r="H457" i="6" s="1"/>
  <c r="H458" i="6" s="1"/>
  <c r="H459" i="6" s="1"/>
  <c r="H460" i="6" s="1"/>
  <c r="H461" i="6" s="1"/>
  <c r="H462" i="6" s="1"/>
  <c r="H463" i="6" s="1"/>
  <c r="H464" i="6" s="1"/>
  <c r="H465" i="6" s="1"/>
  <c r="H466" i="6" s="1"/>
  <c r="H467" i="6" s="1"/>
  <c r="H468" i="6" s="1"/>
  <c r="H469" i="6" s="1"/>
  <c r="H470" i="6" s="1"/>
  <c r="H471" i="6" s="1"/>
  <c r="H472" i="6" s="1"/>
  <c r="H473" i="6" s="1"/>
  <c r="H474" i="6" s="1"/>
  <c r="H475" i="6" s="1"/>
  <c r="H476" i="6" s="1"/>
  <c r="H477" i="6" s="1"/>
  <c r="H478" i="6" s="1"/>
  <c r="H479" i="6" s="1"/>
  <c r="H480" i="6" s="1"/>
  <c r="H481" i="6" s="1"/>
  <c r="H482" i="6" s="1"/>
  <c r="H483" i="6" s="1"/>
  <c r="H484" i="6" s="1"/>
  <c r="H485" i="6" s="1"/>
  <c r="H486" i="6" s="1"/>
  <c r="H487" i="6" s="1"/>
  <c r="H488" i="6" s="1"/>
  <c r="H489" i="6" s="1"/>
  <c r="H490" i="6" s="1"/>
  <c r="H491" i="6" s="1"/>
  <c r="H492" i="6" s="1"/>
  <c r="H493" i="6" s="1"/>
  <c r="H494" i="6" s="1"/>
  <c r="H495" i="6" s="1"/>
  <c r="H496" i="6" s="1"/>
  <c r="H497" i="6" s="1"/>
  <c r="H498" i="6" s="1"/>
  <c r="H499" i="6" s="1"/>
  <c r="H500" i="6" s="1"/>
  <c r="H501" i="6" s="1"/>
  <c r="H502" i="6" s="1"/>
  <c r="H503" i="6" s="1"/>
  <c r="H504" i="6" s="1"/>
  <c r="H505" i="6" s="1"/>
  <c r="H506" i="6" s="1"/>
  <c r="H507" i="6" s="1"/>
  <c r="H508" i="6" s="1"/>
  <c r="H509" i="6" s="1"/>
  <c r="H510" i="6" s="1"/>
  <c r="H511" i="6" s="1"/>
  <c r="H512" i="6" s="1"/>
  <c r="H513" i="6" s="1"/>
  <c r="H514" i="6" s="1"/>
  <c r="H515" i="6" s="1"/>
  <c r="H516" i="6" s="1"/>
  <c r="H517" i="6" s="1"/>
  <c r="H518" i="6" s="1"/>
  <c r="H519" i="6" s="1"/>
  <c r="H520" i="6" s="1"/>
  <c r="H521" i="6" s="1"/>
  <c r="H522" i="6" s="1"/>
  <c r="H523" i="6" s="1"/>
  <c r="H223" i="6" l="1"/>
  <c r="H224" i="6" s="1"/>
  <c r="H225" i="6" s="1"/>
  <c r="H226" i="6" s="1"/>
  <c r="H227" i="6" s="1"/>
  <c r="H228" i="6" s="1"/>
  <c r="H229" i="6" s="1"/>
  <c r="H230" i="6" s="1"/>
  <c r="H231" i="6" s="1"/>
  <c r="H232" i="6" s="1"/>
  <c r="H233" i="6" s="1"/>
  <c r="H234" i="6" s="1"/>
  <c r="H235" i="6" s="1"/>
  <c r="H236" i="6" s="1"/>
  <c r="H237" i="6" s="1"/>
  <c r="H238" i="6" s="1"/>
  <c r="H239" i="6" s="1"/>
  <c r="H240" i="6" s="1"/>
  <c r="H241" i="6" s="1"/>
  <c r="H242" i="6" s="1"/>
  <c r="H243" i="6" s="1"/>
  <c r="H244" i="6" s="1"/>
  <c r="H245" i="6" s="1"/>
  <c r="H246" i="6" s="1"/>
  <c r="H247" i="6" s="1"/>
  <c r="H248" i="6" s="1"/>
  <c r="H249" i="6" s="1"/>
  <c r="H250" i="6" s="1"/>
  <c r="H251" i="6" s="1"/>
  <c r="H252" i="6" s="1"/>
  <c r="H253" i="6" s="1"/>
  <c r="H254" i="6" s="1"/>
  <c r="H255" i="6" s="1"/>
  <c r="H256" i="6" s="1"/>
  <c r="H257" i="6" s="1"/>
  <c r="H258" i="6" s="1"/>
  <c r="H259" i="6" s="1"/>
  <c r="H260" i="6" s="1"/>
  <c r="H261" i="6" s="1"/>
  <c r="H262" i="6" s="1"/>
  <c r="H263" i="6" s="1"/>
  <c r="H264" i="6" s="1"/>
  <c r="H265" i="6" s="1"/>
  <c r="H266" i="6" s="1"/>
  <c r="H267" i="6" s="1"/>
  <c r="H268" i="6" s="1"/>
  <c r="H269" i="6" s="1"/>
  <c r="H270" i="6" s="1"/>
  <c r="H271" i="6" s="1"/>
  <c r="H272" i="6" s="1"/>
  <c r="H273" i="6" s="1"/>
  <c r="H274" i="6" s="1"/>
  <c r="H275" i="6" s="1"/>
  <c r="H276" i="6" s="1"/>
  <c r="H277" i="6" s="1"/>
  <c r="H278" i="6" s="1"/>
  <c r="H279" i="6" s="1"/>
  <c r="H280" i="6" s="1"/>
  <c r="H281" i="6" s="1"/>
  <c r="H282" i="6" s="1"/>
  <c r="H283" i="6" s="1"/>
  <c r="H284" i="6" s="1"/>
  <c r="H285" i="6" s="1"/>
  <c r="H286" i="6" s="1"/>
  <c r="H287" i="6" s="1"/>
  <c r="H288" i="6" s="1"/>
  <c r="H289" i="6" s="1"/>
  <c r="H290" i="6" s="1"/>
  <c r="H291" i="6" s="1"/>
  <c r="H292" i="6" s="1"/>
  <c r="H293" i="6" s="1"/>
  <c r="H294" i="6" s="1"/>
  <c r="H295" i="6" s="1"/>
  <c r="H296" i="6" s="1"/>
  <c r="H297" i="6" s="1"/>
  <c r="H298" i="6" s="1"/>
  <c r="H299" i="6" s="1"/>
  <c r="H300" i="6" s="1"/>
  <c r="H301" i="6" s="1"/>
  <c r="H302" i="6" s="1"/>
  <c r="H303" i="6" s="1"/>
  <c r="H304" i="6" s="1"/>
  <c r="H305" i="6" s="1"/>
  <c r="H306" i="6" s="1"/>
  <c r="H307" i="6" s="1"/>
  <c r="H308" i="6" s="1"/>
  <c r="H309" i="6" s="1"/>
  <c r="H310" i="6" s="1"/>
  <c r="H311" i="6" s="1"/>
  <c r="H312" i="6" s="1"/>
  <c r="H313" i="6" s="1"/>
  <c r="H314" i="6" s="1"/>
  <c r="H315" i="6" s="1"/>
  <c r="H316" i="6" s="1"/>
  <c r="H317" i="6" s="1"/>
  <c r="H318" i="6" s="1"/>
  <c r="H319" i="6" s="1"/>
  <c r="H320" i="6" s="1"/>
  <c r="H321" i="6" s="1"/>
  <c r="H322" i="6" s="1"/>
  <c r="H323" i="6" s="1"/>
  <c r="H324" i="6" s="1"/>
  <c r="H325" i="6" s="1"/>
  <c r="H326" i="6" s="1"/>
  <c r="H327" i="6" s="1"/>
  <c r="H328" i="6" s="1"/>
  <c r="H329" i="6" s="1"/>
  <c r="H330" i="6" s="1"/>
  <c r="H331" i="6" s="1"/>
  <c r="H332" i="6" s="1"/>
  <c r="H333" i="6" s="1"/>
  <c r="H334" i="6" s="1"/>
  <c r="H335" i="6" s="1"/>
  <c r="H336" i="6" s="1"/>
  <c r="H337" i="6" s="1"/>
  <c r="H338" i="6" s="1"/>
  <c r="H339" i="6" s="1"/>
  <c r="H340" i="6" s="1"/>
  <c r="H341" i="6" s="1"/>
  <c r="H342" i="6" s="1"/>
  <c r="H343" i="6" s="1"/>
  <c r="H344" i="6" s="1"/>
  <c r="H345" i="6" s="1"/>
  <c r="H346" i="6" s="1"/>
  <c r="H347" i="6" s="1"/>
  <c r="H348" i="6" s="1"/>
  <c r="H349" i="6" s="1"/>
  <c r="H350" i="6" s="1"/>
  <c r="H351" i="6" s="1"/>
  <c r="H352" i="6" s="1"/>
  <c r="H353" i="6" s="1"/>
  <c r="H354" i="6" s="1"/>
  <c r="H355" i="6" s="1"/>
  <c r="H356" i="6" s="1"/>
  <c r="H357" i="6" s="1"/>
  <c r="H358" i="6" s="1"/>
  <c r="H359" i="6" s="1"/>
  <c r="H360" i="6" s="1"/>
  <c r="H361" i="6" s="1"/>
  <c r="H362" i="6" s="1"/>
  <c r="E217" i="6" l="1"/>
  <c r="F217" i="6"/>
  <c r="H83" i="6" l="1"/>
  <c r="H84" i="6" s="1"/>
  <c r="H85" i="6" s="1"/>
  <c r="H86" i="6" s="1"/>
  <c r="H87" i="6" s="1"/>
  <c r="H88" i="6" s="1"/>
  <c r="H89" i="6" s="1"/>
  <c r="H90" i="6" s="1"/>
  <c r="H91" i="6" s="1"/>
  <c r="H92" i="6" s="1"/>
  <c r="H93" i="6" s="1"/>
  <c r="H94" i="6" s="1"/>
  <c r="H95" i="6" s="1"/>
  <c r="H96" i="6" s="1"/>
  <c r="H97" i="6" s="1"/>
  <c r="H98" i="6" s="1"/>
  <c r="H99" i="6" s="1"/>
  <c r="H100" i="6" s="1"/>
  <c r="H101" i="6" s="1"/>
  <c r="H102" i="6" s="1"/>
  <c r="H103" i="6" s="1"/>
  <c r="H104" i="6" s="1"/>
  <c r="H105" i="6" s="1"/>
  <c r="H106" i="6" s="1"/>
  <c r="H107" i="6" s="1"/>
  <c r="H108" i="6" s="1"/>
  <c r="H109" i="6" s="1"/>
  <c r="H110" i="6" s="1"/>
  <c r="H111" i="6" s="1"/>
  <c r="H112" i="6" s="1"/>
  <c r="H113" i="6" s="1"/>
  <c r="H114" i="6" s="1"/>
  <c r="H115" i="6" s="1"/>
  <c r="H116" i="6" s="1"/>
  <c r="H117" i="6" s="1"/>
  <c r="H118" i="6" s="1"/>
  <c r="H119" i="6" s="1"/>
  <c r="H120" i="6" s="1"/>
  <c r="H121" i="6" s="1"/>
  <c r="H122" i="6" s="1"/>
  <c r="H123" i="6" s="1"/>
  <c r="H124" i="6" s="1"/>
  <c r="H125" i="6" s="1"/>
  <c r="H126" i="6" s="1"/>
  <c r="H127" i="6" s="1"/>
  <c r="H128" i="6" s="1"/>
  <c r="H129" i="6" s="1"/>
  <c r="H130" i="6" s="1"/>
  <c r="F1373" i="26" l="1"/>
  <c r="F1372" i="26"/>
  <c r="F1371" i="26"/>
  <c r="F1370" i="26"/>
  <c r="F1369" i="26"/>
  <c r="F1368" i="26"/>
  <c r="F1367" i="26"/>
  <c r="F1366" i="26"/>
  <c r="F1365" i="26"/>
  <c r="F1364" i="26"/>
  <c r="F1363" i="26"/>
  <c r="F1362" i="26"/>
  <c r="F1361" i="26"/>
  <c r="F1360" i="26"/>
  <c r="F1359" i="26"/>
  <c r="F1358" i="26"/>
  <c r="F1357" i="26"/>
  <c r="F1356" i="26"/>
  <c r="F1355" i="26"/>
  <c r="F1354" i="26"/>
  <c r="F1353" i="26"/>
  <c r="F1352" i="26"/>
  <c r="F1351" i="26"/>
  <c r="F1350" i="26"/>
  <c r="F1349" i="26"/>
  <c r="F1348" i="26"/>
  <c r="F1347" i="26"/>
  <c r="F1346" i="26"/>
  <c r="F1345" i="26"/>
  <c r="F1344" i="26"/>
  <c r="F1343" i="26"/>
  <c r="F1342" i="26"/>
  <c r="F1341" i="26"/>
  <c r="F1340" i="26"/>
  <c r="F1339" i="26"/>
  <c r="F1338" i="26"/>
  <c r="F1337" i="26"/>
  <c r="F1336" i="26"/>
  <c r="F1335" i="26"/>
  <c r="F1334" i="26"/>
  <c r="F1333" i="26"/>
  <c r="F1332" i="26"/>
  <c r="F1331" i="26"/>
  <c r="F1330" i="26"/>
  <c r="F1329" i="26"/>
  <c r="F1328" i="26"/>
  <c r="F1327" i="26"/>
  <c r="F1326" i="26"/>
  <c r="F1325" i="26"/>
  <c r="F1324" i="26"/>
  <c r="F1323" i="26"/>
  <c r="F1322" i="26"/>
  <c r="F1321" i="26"/>
  <c r="F1320" i="26"/>
  <c r="F1319" i="26"/>
  <c r="F1318" i="26"/>
  <c r="F1317" i="26"/>
  <c r="F1316" i="26"/>
  <c r="F1315" i="26"/>
  <c r="F1314" i="26"/>
  <c r="F1313" i="26"/>
  <c r="F1312" i="26"/>
  <c r="F1311" i="26"/>
  <c r="F1310" i="26"/>
  <c r="F1309" i="26"/>
  <c r="F1308" i="26"/>
  <c r="F1307" i="26"/>
  <c r="F1306" i="26"/>
  <c r="F1305" i="26"/>
  <c r="F1304" i="26"/>
  <c r="F1303" i="26"/>
  <c r="F1302" i="26"/>
  <c r="F1301" i="26"/>
  <c r="F1300" i="26"/>
  <c r="F1299" i="26"/>
  <c r="F1298" i="26"/>
  <c r="F1297" i="26"/>
  <c r="F1296" i="26"/>
  <c r="F1295" i="26"/>
  <c r="F1294" i="26"/>
  <c r="F1293" i="26"/>
  <c r="F1292" i="26"/>
  <c r="F1291" i="26"/>
  <c r="F1290" i="26"/>
  <c r="F1289" i="26"/>
  <c r="F1288" i="26"/>
  <c r="F1287" i="26"/>
  <c r="F1286" i="26"/>
  <c r="F1285" i="26"/>
  <c r="F1284" i="26"/>
  <c r="G1283" i="26"/>
  <c r="F1282" i="26"/>
  <c r="F1281" i="26"/>
  <c r="F1280" i="26"/>
  <c r="F1279" i="26"/>
  <c r="F1278" i="26"/>
  <c r="F1277" i="26"/>
  <c r="F1276" i="26"/>
  <c r="F1275" i="26"/>
  <c r="F1274" i="26"/>
  <c r="F1273" i="26"/>
  <c r="F1272" i="26"/>
  <c r="F1271" i="26"/>
  <c r="F1270" i="26"/>
  <c r="F1269" i="26"/>
  <c r="F1268" i="26"/>
  <c r="F1267" i="26"/>
  <c r="F1266" i="26"/>
  <c r="F1265" i="26"/>
  <c r="F1264" i="26"/>
  <c r="F1263" i="26"/>
  <c r="F1262" i="26"/>
  <c r="F1261" i="26"/>
  <c r="F1260" i="26"/>
  <c r="F1259" i="26"/>
  <c r="F1258" i="26"/>
  <c r="F1257" i="26"/>
  <c r="F1256" i="26"/>
  <c r="F1255" i="26"/>
  <c r="F1254" i="26"/>
  <c r="F1253" i="26"/>
  <c r="F1252" i="26"/>
  <c r="F1251" i="26"/>
  <c r="F1250" i="26"/>
  <c r="F1249" i="26"/>
  <c r="F1248" i="26"/>
  <c r="F1247" i="26"/>
  <c r="F1246" i="26"/>
  <c r="F1245" i="26"/>
  <c r="F1244" i="26"/>
  <c r="F1243" i="26"/>
  <c r="F1242" i="26"/>
  <c r="F1241" i="26"/>
  <c r="F1240" i="26"/>
  <c r="F1239" i="26"/>
  <c r="F1238" i="26"/>
  <c r="F1237" i="26"/>
  <c r="F1236" i="26"/>
  <c r="F1235" i="26"/>
  <c r="F1234" i="26"/>
  <c r="F1233" i="26"/>
  <c r="F1232" i="26"/>
  <c r="F1231" i="26"/>
  <c r="F1230" i="26"/>
  <c r="F1229" i="26"/>
  <c r="F1228" i="26"/>
  <c r="F1227" i="26"/>
  <c r="F1226" i="26"/>
  <c r="F1225" i="26"/>
  <c r="F1224" i="26"/>
  <c r="F1223" i="26"/>
  <c r="F1222" i="26"/>
  <c r="F1221" i="26"/>
  <c r="F1220" i="26"/>
  <c r="F1219" i="26"/>
  <c r="F1218" i="26"/>
  <c r="F1217" i="26"/>
  <c r="F1216" i="26"/>
  <c r="F1215" i="26"/>
  <c r="F1214" i="26"/>
  <c r="F1213" i="26"/>
  <c r="G1212" i="26"/>
  <c r="F1211" i="26"/>
  <c r="F1210" i="26"/>
  <c r="F1209" i="26"/>
  <c r="F1208" i="26"/>
  <c r="F1207" i="26"/>
  <c r="F1206" i="26"/>
  <c r="F1205" i="26"/>
  <c r="F1204" i="26"/>
  <c r="F1203" i="26"/>
  <c r="F1202" i="26"/>
  <c r="F1201" i="26"/>
  <c r="F1200" i="26"/>
  <c r="F1199" i="26"/>
  <c r="F1198" i="26"/>
  <c r="F1197" i="26"/>
  <c r="F1196" i="26"/>
  <c r="F1195" i="26"/>
  <c r="F1194" i="26"/>
  <c r="F1193" i="26"/>
  <c r="F1192" i="26"/>
  <c r="F1191" i="26"/>
  <c r="F1190" i="26"/>
  <c r="F1189" i="26"/>
  <c r="F1188" i="26"/>
  <c r="F1187" i="26"/>
  <c r="F1186" i="26"/>
  <c r="F1185" i="26"/>
  <c r="F1184" i="26"/>
  <c r="F1183" i="26"/>
  <c r="F1182" i="26"/>
  <c r="F1181" i="26"/>
  <c r="F1180" i="26"/>
  <c r="F1179" i="26"/>
  <c r="F1178" i="26"/>
  <c r="F1177" i="26"/>
  <c r="F1176" i="26"/>
  <c r="F1175" i="26"/>
  <c r="F1174" i="26"/>
  <c r="F1173" i="26"/>
  <c r="F1172" i="26"/>
  <c r="F1171" i="26"/>
  <c r="F1170" i="26"/>
  <c r="F1169" i="26"/>
  <c r="F1168" i="26"/>
  <c r="F1167" i="26"/>
  <c r="F1166" i="26"/>
  <c r="F1165" i="26"/>
  <c r="F286" i="1" l="1"/>
  <c r="C12" i="2"/>
  <c r="G5" i="2"/>
  <c r="G11" i="2"/>
  <c r="G12" i="2"/>
  <c r="G15" i="2"/>
  <c r="G14" i="2"/>
  <c r="G13" i="2"/>
  <c r="G10" i="2"/>
  <c r="G16" i="2"/>
  <c r="G9" i="2"/>
  <c r="E12" i="2"/>
  <c r="E5" i="2"/>
  <c r="E14" i="2"/>
  <c r="E16" i="2"/>
  <c r="E15" i="2"/>
  <c r="E13" i="2"/>
  <c r="D35" i="5" l="1"/>
  <c r="C16" i="2"/>
  <c r="C15" i="2"/>
  <c r="C14" i="2"/>
  <c r="C13" i="2"/>
  <c r="C11" i="2"/>
  <c r="C10" i="2"/>
  <c r="C9" i="2"/>
  <c r="C8" i="2"/>
  <c r="C5" i="2"/>
  <c r="C3" i="2"/>
  <c r="C2" i="2"/>
  <c r="M15" i="2"/>
  <c r="M5" i="2"/>
  <c r="M14" i="2"/>
  <c r="M12" i="2"/>
  <c r="M2" i="2"/>
  <c r="C19" i="2" l="1"/>
  <c r="F58" i="1"/>
  <c r="F309" i="1"/>
  <c r="F242" i="1"/>
  <c r="F243" i="1"/>
  <c r="F388" i="1"/>
  <c r="F7" i="1"/>
  <c r="F8" i="1"/>
  <c r="F573" i="1"/>
  <c r="F77" i="1"/>
  <c r="F56" i="1"/>
  <c r="F71" i="1"/>
  <c r="F216" i="1"/>
  <c r="F217" i="1"/>
  <c r="F472" i="1"/>
  <c r="F426" i="1"/>
  <c r="F427" i="1"/>
  <c r="F512" i="1"/>
  <c r="F662" i="1"/>
  <c r="F223" i="1"/>
  <c r="F20" i="1"/>
  <c r="F285" i="1"/>
  <c r="F183" i="1"/>
  <c r="F218" i="1"/>
  <c r="F266" i="1"/>
  <c r="F267" i="1"/>
  <c r="F574" i="1"/>
  <c r="F575" i="1"/>
  <c r="F117" i="1"/>
  <c r="F311" i="1"/>
  <c r="F312" i="1"/>
  <c r="F473" i="1"/>
  <c r="F474" i="1"/>
  <c r="F250" i="1"/>
  <c r="F463" i="1"/>
  <c r="F635" i="1"/>
  <c r="F10" i="1"/>
  <c r="F608" i="1"/>
  <c r="F676" i="1"/>
  <c r="F248" i="1"/>
  <c r="F249" i="1"/>
  <c r="F590" i="1"/>
  <c r="F657" i="1"/>
  <c r="F596" i="1"/>
  <c r="F336" i="1"/>
  <c r="F337" i="1"/>
  <c r="F368" i="1"/>
  <c r="F414" i="1"/>
  <c r="F526" i="1"/>
  <c r="F591" i="1"/>
  <c r="F4" i="1"/>
  <c r="F72" i="1"/>
  <c r="F609" i="1"/>
  <c r="F366" i="1"/>
  <c r="F367" i="1"/>
  <c r="F415" i="1"/>
  <c r="F369" i="1"/>
  <c r="F370" i="1"/>
  <c r="F371" i="1"/>
  <c r="F59" i="1"/>
  <c r="F73" i="1"/>
  <c r="F74" i="1"/>
  <c r="F75" i="1"/>
  <c r="F21" i="1"/>
  <c r="F251" i="1"/>
  <c r="F592" i="1"/>
  <c r="F431" i="1"/>
  <c r="F682" i="1"/>
  <c r="F398" i="1"/>
  <c r="F399" i="1"/>
  <c r="F433" i="1"/>
  <c r="F434" i="1"/>
  <c r="F268" i="1"/>
  <c r="F553" i="1"/>
  <c r="F559" i="1"/>
  <c r="F615" i="1"/>
  <c r="F648" i="1"/>
  <c r="F246" i="1"/>
  <c r="F247" i="1"/>
  <c r="F586" i="1"/>
  <c r="F587" i="1"/>
  <c r="F588" i="1"/>
  <c r="F589" i="1"/>
  <c r="F518" i="1"/>
  <c r="F519" i="1"/>
  <c r="F520" i="1"/>
  <c r="F272" i="1"/>
  <c r="F338" i="1"/>
  <c r="F224" i="1"/>
  <c r="F561" i="1"/>
  <c r="F562" i="1"/>
  <c r="F60" i="1"/>
  <c r="F61" i="1"/>
  <c r="F550" i="1"/>
  <c r="F551" i="1"/>
  <c r="F554" i="1"/>
  <c r="F432" i="1"/>
  <c r="F273" i="1"/>
  <c r="F274" i="1"/>
  <c r="H3" i="4"/>
  <c r="H4" i="4" s="1"/>
  <c r="H5" i="4" s="1"/>
  <c r="H6" i="4" s="1"/>
  <c r="H7" i="4" s="1"/>
  <c r="H8" i="4" s="1"/>
  <c r="H9" i="4" s="1"/>
  <c r="H10" i="4" s="1"/>
  <c r="H11" i="4" s="1"/>
  <c r="H12" i="4" s="1"/>
  <c r="H13" i="4" s="1"/>
  <c r="H14" i="4" s="1"/>
  <c r="H15" i="4" s="1"/>
  <c r="H16" i="4" s="1"/>
  <c r="H17" i="4" s="1"/>
  <c r="D2" i="2"/>
  <c r="D11" i="2"/>
  <c r="D14" i="2"/>
  <c r="D5" i="2"/>
  <c r="D12" i="2"/>
  <c r="D16" i="2"/>
  <c r="D13" i="2"/>
  <c r="D15" i="2"/>
  <c r="I2" i="2" l="1"/>
  <c r="I19" i="2"/>
  <c r="H5" i="6"/>
  <c r="H6" i="6" s="1"/>
  <c r="H7" i="6" s="1"/>
  <c r="H8" i="6" s="1"/>
  <c r="H9" i="6" s="1"/>
  <c r="H10" i="6" s="1"/>
  <c r="H11" i="6" s="1"/>
  <c r="H12" i="6" s="1"/>
  <c r="H13" i="6" s="1"/>
  <c r="H14" i="6" s="1"/>
  <c r="H15" i="6" s="1"/>
  <c r="H16" i="6" s="1"/>
  <c r="H17" i="6" s="1"/>
  <c r="H18" i="6" s="1"/>
  <c r="H19" i="6" s="1"/>
  <c r="H20" i="6" s="1"/>
  <c r="H21" i="6" s="1"/>
  <c r="H22" i="6" s="1"/>
  <c r="H23" i="6" s="1"/>
  <c r="H24" i="6" s="1"/>
  <c r="H25" i="6" s="1"/>
  <c r="H26" i="6" s="1"/>
  <c r="H27" i="6" s="1"/>
  <c r="H28" i="6" s="1"/>
  <c r="H29" i="6" s="1"/>
  <c r="H30" i="6" s="1"/>
  <c r="H31" i="6" s="1"/>
  <c r="H32" i="6" s="1"/>
  <c r="H33" i="6" s="1"/>
  <c r="H34" i="6" s="1"/>
  <c r="H35" i="6" s="1"/>
  <c r="H36" i="6" s="1"/>
  <c r="H37" i="6" s="1"/>
  <c r="H38" i="6" s="1"/>
  <c r="H39" i="6" s="1"/>
  <c r="H40" i="6" s="1"/>
  <c r="H41" i="6" s="1"/>
  <c r="H42" i="6" s="1"/>
  <c r="H43" i="6" s="1"/>
  <c r="H44" i="6" s="1"/>
  <c r="H45" i="6" s="1"/>
  <c r="H46" i="6" s="1"/>
  <c r="H47" i="6" s="1"/>
  <c r="H48" i="6" s="1"/>
  <c r="H49" i="6" s="1"/>
  <c r="H50" i="6" s="1"/>
  <c r="H51" i="6" s="1"/>
  <c r="H52" i="6" s="1"/>
  <c r="H53" i="6" s="1"/>
  <c r="H54" i="6" s="1"/>
  <c r="H55" i="6" s="1"/>
  <c r="H56" i="6" s="1"/>
  <c r="H57" i="6" s="1"/>
  <c r="H58" i="6" s="1"/>
  <c r="H59" i="6" s="1"/>
  <c r="H60" i="6" s="1"/>
  <c r="H61" i="6" s="1"/>
  <c r="H62" i="6" s="1"/>
  <c r="H63" i="6" s="1"/>
  <c r="H64" i="6" s="1"/>
  <c r="H65" i="6" s="1"/>
  <c r="H66" i="6" s="1"/>
  <c r="H67" i="6" s="1"/>
  <c r="H68" i="6" s="1"/>
  <c r="H69" i="6" s="1"/>
  <c r="H70" i="6" s="1"/>
  <c r="H71" i="6" s="1"/>
  <c r="H72" i="6" s="1"/>
  <c r="H73" i="6" s="1"/>
  <c r="H74" i="6" s="1"/>
  <c r="H75" i="6" s="1"/>
  <c r="H76" i="6" s="1"/>
  <c r="H77" i="6" s="1"/>
  <c r="G853" i="26" l="1"/>
  <c r="G600" i="26"/>
  <c r="F600" i="26" s="1"/>
  <c r="F437" i="26"/>
  <c r="F418" i="26"/>
  <c r="F417" i="26"/>
  <c r="G77" i="26"/>
  <c r="F2" i="1"/>
  <c r="F3" i="1"/>
  <c r="F42" i="1"/>
  <c r="F43" i="1"/>
  <c r="F116" i="1"/>
  <c r="F184" i="1"/>
  <c r="F616" i="1"/>
  <c r="F500" i="1"/>
  <c r="F501" i="1"/>
  <c r="F525" i="1"/>
  <c r="F57" i="1"/>
  <c r="F310" i="1"/>
  <c r="F471" i="1"/>
  <c r="F673" i="1"/>
  <c r="F706" i="1"/>
  <c r="F660" i="1"/>
  <c r="F661" i="1"/>
  <c r="F707" i="1"/>
  <c r="F708" i="1"/>
  <c r="F287" i="1"/>
  <c r="F288" i="1"/>
  <c r="F289" i="1"/>
  <c r="F290" i="1"/>
  <c r="F534" i="1"/>
  <c r="F445" i="1"/>
  <c r="F533" i="1"/>
  <c r="F548" i="1"/>
  <c r="F549" i="1"/>
  <c r="F650" i="1"/>
  <c r="F674" i="1"/>
  <c r="F675" i="1"/>
  <c r="F115" i="1"/>
  <c r="F182" i="1"/>
  <c r="F634" i="1"/>
  <c r="F339" i="1"/>
  <c r="F76" i="1"/>
  <c r="F555" i="1"/>
  <c r="F677" i="1"/>
  <c r="F678" i="1"/>
  <c r="F461" i="1"/>
  <c r="F462" i="1"/>
  <c r="F9" i="1"/>
  <c r="F305" i="1"/>
  <c r="F271" i="1"/>
  <c r="F7" i="7"/>
  <c r="I25" i="2" l="1"/>
  <c r="H791" i="6" l="1"/>
  <c r="H792" i="6" s="1"/>
  <c r="H793" i="6" s="1"/>
  <c r="H794" i="6" s="1"/>
  <c r="H795" i="6" s="1"/>
  <c r="H796" i="6" s="1"/>
  <c r="H797" i="6" s="1"/>
  <c r="H798" i="6" s="1"/>
  <c r="H799" i="6" s="1"/>
  <c r="H800" i="6" s="1"/>
  <c r="H801" i="6" s="1"/>
  <c r="H802" i="6" s="1"/>
  <c r="H803" i="6" s="1"/>
  <c r="H804" i="6" s="1"/>
  <c r="H805" i="6" s="1"/>
  <c r="H806" i="6" s="1"/>
  <c r="H807" i="6" s="1"/>
  <c r="H808" i="6" s="1"/>
  <c r="H809" i="6" s="1"/>
  <c r="H810" i="6" s="1"/>
  <c r="H811" i="6" s="1"/>
  <c r="H812" i="6" s="1"/>
  <c r="H813" i="6" s="1"/>
  <c r="H814" i="6" s="1"/>
  <c r="H815" i="6" s="1"/>
  <c r="H816" i="6" s="1"/>
  <c r="H817" i="6" s="1"/>
  <c r="H818" i="6" s="1"/>
  <c r="H819" i="6" s="1"/>
  <c r="H820" i="6" s="1"/>
  <c r="H821" i="6" s="1"/>
  <c r="H822" i="6" s="1"/>
  <c r="H823" i="6" s="1"/>
  <c r="H824" i="6" s="1"/>
  <c r="H825" i="6" s="1"/>
  <c r="H826" i="6" s="1"/>
  <c r="H827" i="6" s="1"/>
  <c r="H828" i="6" s="1"/>
  <c r="H829" i="6" s="1"/>
  <c r="H830" i="6" s="1"/>
  <c r="H831" i="6" s="1"/>
  <c r="H832" i="6" s="1"/>
  <c r="H833" i="6" s="1"/>
  <c r="H834" i="6" s="1"/>
  <c r="H835" i="6" s="1"/>
  <c r="H836" i="6" s="1"/>
  <c r="H837" i="6" s="1"/>
  <c r="H838" i="6" s="1"/>
  <c r="H839" i="6" s="1"/>
  <c r="H840" i="6" s="1"/>
  <c r="H841" i="6" s="1"/>
  <c r="H842" i="6" s="1"/>
  <c r="H843" i="6" s="1"/>
  <c r="H844" i="6" s="1"/>
  <c r="H845" i="6" s="1"/>
  <c r="H846" i="6" s="1"/>
  <c r="H847" i="6" s="1"/>
  <c r="H848" i="6" s="1"/>
  <c r="H849" i="6" s="1"/>
  <c r="H850" i="6" s="1"/>
  <c r="H851" i="6" s="1"/>
  <c r="H852" i="6" s="1"/>
  <c r="H853" i="6" s="1"/>
  <c r="H854" i="6" s="1"/>
  <c r="H855" i="6" s="1"/>
  <c r="H856" i="6" s="1"/>
  <c r="H857" i="6" s="1"/>
  <c r="H858" i="6" s="1"/>
  <c r="H859" i="6" s="1"/>
  <c r="H860" i="6" s="1"/>
  <c r="H861" i="6" s="1"/>
  <c r="H862" i="6" s="1"/>
  <c r="H863" i="6" s="1"/>
  <c r="H864" i="6" s="1"/>
  <c r="H865" i="6" s="1"/>
  <c r="H866" i="6" s="1"/>
  <c r="H867" i="6" s="1"/>
  <c r="H868" i="6" s="1"/>
  <c r="H869" i="6" s="1"/>
  <c r="H870" i="6" s="1"/>
  <c r="H871" i="6" s="1"/>
  <c r="H872" i="6" s="1"/>
  <c r="I12" i="2" l="1"/>
  <c r="H728" i="6"/>
  <c r="H729" i="6" s="1"/>
  <c r="H730" i="6" s="1"/>
  <c r="H731" i="6" s="1"/>
  <c r="H732" i="6" s="1"/>
  <c r="H733" i="6" s="1"/>
  <c r="H734" i="6" s="1"/>
  <c r="H735" i="6" s="1"/>
  <c r="H736" i="6" s="1"/>
  <c r="H737" i="6" s="1"/>
  <c r="H738" i="6" s="1"/>
  <c r="H739" i="6" s="1"/>
  <c r="H740" i="6" s="1"/>
  <c r="H741" i="6" s="1"/>
  <c r="H742" i="6" s="1"/>
  <c r="H743" i="6" s="1"/>
  <c r="H744" i="6" s="1"/>
  <c r="H745" i="6" s="1"/>
  <c r="H746" i="6" s="1"/>
  <c r="H747" i="6" s="1"/>
  <c r="H748" i="6" s="1"/>
  <c r="H749" i="6" s="1"/>
  <c r="H750" i="6" s="1"/>
  <c r="H751" i="6" s="1"/>
  <c r="H752" i="6" s="1"/>
  <c r="H753" i="6" s="1"/>
  <c r="H754" i="6" s="1"/>
  <c r="H755" i="6" s="1"/>
  <c r="H756" i="6" s="1"/>
  <c r="H757" i="6" s="1"/>
  <c r="H758" i="6" s="1"/>
  <c r="H759" i="6" s="1"/>
  <c r="H760" i="6" s="1"/>
  <c r="H761" i="6" s="1"/>
  <c r="H762" i="6" s="1"/>
  <c r="H763" i="6" s="1"/>
  <c r="H764" i="6" s="1"/>
  <c r="H765" i="6" s="1"/>
  <c r="H766" i="6" s="1"/>
  <c r="H767" i="6" s="1"/>
  <c r="H768" i="6" s="1"/>
  <c r="H769" i="6" s="1"/>
  <c r="H770" i="6" s="1"/>
  <c r="H771" i="6" s="1"/>
  <c r="H772" i="6" s="1"/>
  <c r="H773" i="6" s="1"/>
  <c r="H774" i="6" s="1"/>
  <c r="H775" i="6" s="1"/>
  <c r="H776" i="6" s="1"/>
  <c r="H777" i="6" s="1"/>
  <c r="H778" i="6" s="1"/>
  <c r="H779" i="6" s="1"/>
  <c r="H780" i="6" s="1"/>
  <c r="H781" i="6" s="1"/>
  <c r="H782" i="6" s="1"/>
  <c r="H783" i="6" s="1"/>
  <c r="H784" i="6" s="1"/>
  <c r="H785" i="6" s="1"/>
  <c r="E786" i="6"/>
  <c r="F786" i="6"/>
  <c r="H786" i="6" l="1"/>
  <c r="H880" i="6" l="1"/>
  <c r="H881" i="6" s="1"/>
  <c r="H882" i="6" s="1"/>
  <c r="H883" i="6" s="1"/>
  <c r="H884" i="6" s="1"/>
  <c r="H885" i="6" s="1"/>
  <c r="H886" i="6" s="1"/>
  <c r="H887" i="6" s="1"/>
  <c r="H888" i="6" s="1"/>
  <c r="H889" i="6" s="1"/>
  <c r="H890" i="6" s="1"/>
  <c r="H891" i="6" s="1"/>
  <c r="H892" i="6" s="1"/>
  <c r="H893" i="6" s="1"/>
  <c r="H894" i="6" s="1"/>
  <c r="H895" i="6" s="1"/>
  <c r="H896" i="6" s="1"/>
  <c r="H897" i="6" s="1"/>
  <c r="H898" i="6" s="1"/>
  <c r="H899" i="6" s="1"/>
  <c r="H900" i="6" s="1"/>
  <c r="H901" i="6" s="1"/>
  <c r="H902" i="6" s="1"/>
  <c r="H903" i="6" s="1"/>
  <c r="H904" i="6" s="1"/>
  <c r="H905" i="6" s="1"/>
  <c r="H906" i="6" s="1"/>
  <c r="H907" i="6" s="1"/>
  <c r="H908" i="6" s="1"/>
  <c r="H909" i="6" s="1"/>
  <c r="H910" i="6" s="1"/>
  <c r="H911" i="6" s="1"/>
  <c r="H912" i="6" s="1"/>
  <c r="H913" i="6" s="1"/>
  <c r="H914" i="6" s="1"/>
  <c r="H915" i="6" s="1"/>
  <c r="H916" i="6" s="1"/>
  <c r="H917" i="6" s="1"/>
  <c r="H918" i="6" s="1"/>
  <c r="H723" i="6" l="1"/>
  <c r="H640" i="6"/>
  <c r="H641" i="6" s="1"/>
  <c r="H642" i="6" s="1"/>
  <c r="H643" i="6" s="1"/>
  <c r="H644" i="6" s="1"/>
  <c r="H645" i="6" s="1"/>
  <c r="H646" i="6" s="1"/>
  <c r="H647" i="6" s="1"/>
  <c r="H648" i="6" s="1"/>
  <c r="H649" i="6" s="1"/>
  <c r="H650" i="6" s="1"/>
  <c r="H651" i="6" s="1"/>
  <c r="H652" i="6" s="1"/>
  <c r="H653" i="6" s="1"/>
  <c r="H654" i="6" s="1"/>
  <c r="H655" i="6" s="1"/>
  <c r="H656" i="6" s="1"/>
  <c r="H657" i="6" s="1"/>
  <c r="H658" i="6" s="1"/>
  <c r="H659" i="6" s="1"/>
  <c r="H660" i="6" s="1"/>
  <c r="H661" i="6" s="1"/>
  <c r="H662" i="6" s="1"/>
  <c r="H663" i="6" s="1"/>
  <c r="H664" i="6" s="1"/>
  <c r="H665" i="6" s="1"/>
  <c r="H666" i="6" s="1"/>
  <c r="H667" i="6" s="1"/>
  <c r="H668" i="6" s="1"/>
  <c r="H669" i="6" s="1"/>
  <c r="H670" i="6" s="1"/>
  <c r="H671" i="6" s="1"/>
  <c r="H672" i="6" s="1"/>
  <c r="H673" i="6" s="1"/>
  <c r="H674" i="6" s="1"/>
  <c r="H675" i="6" s="1"/>
  <c r="H143" i="6" l="1"/>
  <c r="H144" i="6" s="1"/>
  <c r="H145" i="6" s="1"/>
  <c r="H146" i="6" s="1"/>
  <c r="H147" i="6" s="1"/>
  <c r="H148" i="6" s="1"/>
  <c r="H149" i="6" s="1"/>
  <c r="H150" i="6" s="1"/>
  <c r="H151" i="6" s="1"/>
  <c r="H152" i="6" s="1"/>
  <c r="H153" i="6" s="1"/>
  <c r="H154" i="6" s="1"/>
  <c r="H155" i="6" s="1"/>
  <c r="H156" i="6" s="1"/>
  <c r="H157" i="6" s="1"/>
  <c r="H158" i="6" s="1"/>
  <c r="H159" i="6" s="1"/>
  <c r="H160" i="6" s="1"/>
  <c r="H161" i="6" s="1"/>
  <c r="H162" i="6" s="1"/>
  <c r="H163" i="6" s="1"/>
  <c r="H164" i="6" s="1"/>
  <c r="H165" i="6" s="1"/>
  <c r="H166" i="6" s="1"/>
  <c r="H167" i="6" s="1"/>
  <c r="H168" i="6" s="1"/>
  <c r="H169" i="6" s="1"/>
  <c r="H170" i="6" s="1"/>
  <c r="H171" i="6" s="1"/>
  <c r="H172" i="6" s="1"/>
  <c r="H173" i="6" s="1"/>
  <c r="H174" i="6" s="1"/>
  <c r="H175" i="6" s="1"/>
  <c r="H176" i="6" s="1"/>
  <c r="H177" i="6" s="1"/>
  <c r="H178" i="6" s="1"/>
  <c r="H179" i="6" s="1"/>
  <c r="H180" i="6" s="1"/>
  <c r="H181" i="6" s="1"/>
  <c r="H182" i="6" s="1"/>
  <c r="H183" i="6" s="1"/>
  <c r="H184" i="6" s="1"/>
  <c r="H185" i="6" s="1"/>
  <c r="H186" i="6" s="1"/>
  <c r="H187" i="6" s="1"/>
  <c r="H188" i="6" s="1"/>
  <c r="H189" i="6" s="1"/>
  <c r="H190" i="6" s="1"/>
  <c r="H191" i="6" s="1"/>
  <c r="H192" i="6" s="1"/>
  <c r="H193" i="6" s="1"/>
  <c r="H194" i="6" s="1"/>
  <c r="H195" i="6" s="1"/>
  <c r="H196" i="6" s="1"/>
  <c r="H197" i="6" s="1"/>
  <c r="H198" i="6" s="1"/>
  <c r="H199" i="6" s="1"/>
  <c r="H200" i="6" s="1"/>
  <c r="H201" i="6" s="1"/>
  <c r="H202" i="6" s="1"/>
  <c r="H203" i="6" s="1"/>
  <c r="H204" i="6" s="1"/>
  <c r="H205" i="6" s="1"/>
  <c r="H206" i="6" s="1"/>
  <c r="H207" i="6" s="1"/>
  <c r="H208" i="6" s="1"/>
  <c r="H209" i="6" s="1"/>
  <c r="H210" i="6" s="1"/>
  <c r="H211" i="6" s="1"/>
  <c r="H212" i="6" s="1"/>
  <c r="H213" i="6" s="1"/>
  <c r="H214" i="6" s="1"/>
  <c r="H215" i="6" s="1"/>
  <c r="H216" i="6" s="1"/>
  <c r="C4" i="2" l="1"/>
  <c r="H635" i="6" l="1"/>
  <c r="H11" i="2" s="1"/>
  <c r="E919" i="6" l="1"/>
  <c r="D4" i="2" l="1"/>
  <c r="M17" i="2"/>
  <c r="F919" i="6" l="1"/>
  <c r="H919" i="6" s="1"/>
  <c r="H12" i="2" s="1"/>
  <c r="J12" i="2" s="1"/>
  <c r="H363" i="6" l="1"/>
  <c r="E38" i="5"/>
  <c r="F873" i="6" l="1"/>
  <c r="E873" i="6"/>
  <c r="H873" i="6" l="1"/>
  <c r="H16" i="2" s="1"/>
  <c r="H9" i="2"/>
  <c r="H217" i="6" l="1"/>
  <c r="H5" i="2" s="1"/>
  <c r="H78" i="6" l="1"/>
  <c r="H2" i="2" s="1"/>
  <c r="J2" i="2" s="1"/>
  <c r="H15" i="2" l="1"/>
  <c r="H131" i="6" l="1"/>
  <c r="H3" i="2" s="1"/>
  <c r="H13" i="2" l="1"/>
  <c r="F19" i="7" l="1"/>
  <c r="F18" i="7"/>
  <c r="F17" i="7"/>
  <c r="F16" i="7"/>
  <c r="F15" i="7"/>
  <c r="F14" i="7"/>
  <c r="F11" i="7"/>
  <c r="F10" i="7"/>
  <c r="F9" i="7"/>
  <c r="F8" i="7"/>
  <c r="F676" i="6"/>
  <c r="E676" i="6"/>
  <c r="F137" i="6"/>
  <c r="E137" i="6"/>
  <c r="F20" i="2"/>
  <c r="D20" i="2"/>
  <c r="D29" i="2" s="1"/>
  <c r="F17" i="2"/>
  <c r="I13" i="2"/>
  <c r="I7" i="2"/>
  <c r="J7" i="2" s="1"/>
  <c r="I6" i="2"/>
  <c r="J6" i="2" s="1"/>
  <c r="H524" i="6" l="1"/>
  <c r="H10" i="2" s="1"/>
  <c r="F20" i="7"/>
  <c r="F22" i="7" s="1"/>
  <c r="G17" i="2"/>
  <c r="G20" i="2"/>
  <c r="D17" i="2"/>
  <c r="E20" i="2"/>
  <c r="E17" i="2"/>
  <c r="I9" i="2"/>
  <c r="I16" i="2"/>
  <c r="J16" i="2" s="1"/>
  <c r="I10" i="2"/>
  <c r="I14" i="2"/>
  <c r="I3" i="2"/>
  <c r="I8" i="2"/>
  <c r="I11" i="2"/>
  <c r="J11" i="2" s="1"/>
  <c r="I15" i="2"/>
  <c r="J15" i="2" s="1"/>
  <c r="I20" i="2"/>
  <c r="I4" i="2"/>
  <c r="I5" i="2"/>
  <c r="C20" i="2"/>
  <c r="H676" i="6"/>
  <c r="H14" i="2" s="1"/>
  <c r="H137" i="6"/>
  <c r="H4" i="2" s="1"/>
  <c r="J13" i="2"/>
  <c r="C17" i="2"/>
  <c r="J10" i="2" l="1"/>
  <c r="J3" i="2"/>
  <c r="J14" i="2"/>
  <c r="C29" i="2"/>
  <c r="F24" i="7"/>
  <c r="J25" i="2"/>
  <c r="E23" i="2"/>
  <c r="E29" i="2" s="1"/>
  <c r="J4" i="2"/>
  <c r="J5" i="2"/>
  <c r="I17" i="2"/>
  <c r="J9" i="2"/>
  <c r="I29" i="2" l="1"/>
  <c r="H62" i="27" s="1"/>
  <c r="H63" i="27" s="1"/>
  <c r="D49" i="5"/>
  <c r="D61" i="5" s="1"/>
  <c r="D64" i="5" l="1"/>
  <c r="J19" i="2" l="1"/>
  <c r="H20" i="2"/>
  <c r="J20" i="2" l="1"/>
  <c r="H600" i="6"/>
  <c r="H8" i="2" s="1"/>
  <c r="J8" i="2" s="1"/>
  <c r="H17" i="2" l="1"/>
  <c r="J17" i="2" s="1"/>
  <c r="H29" i="2" l="1"/>
  <c r="J29" i="2" s="1"/>
  <c r="F607" i="1" l="1"/>
  <c r="AF415" i="1" l="1"/>
</calcChain>
</file>

<file path=xl/comments1.xml><?xml version="1.0" encoding="utf-8"?>
<comments xmlns="http://schemas.openxmlformats.org/spreadsheetml/2006/main">
  <authors>
    <author>tc={A12D1BC1-2A0A-4E82-995E-AE42C351895A}</author>
    <author>tc={B9DA9024-4CA0-46CF-BCB7-17B9FFFC34E0}</author>
    <author>tc={62FAAB4B-6EAF-4972-9E02-C37D118F3FE1}</author>
    <author>tc={CD553CA5-AD13-43FC-A1F7-EF2DE5EF7A94}</author>
    <author>tc={5991BF77-FCF5-4586-9875-1F89E2825A51}</author>
    <author>tc={D10F2EAC-DC88-4867-AF3C-128AC3A279F6}</author>
    <author>tc={E4BF8878-824E-43F9-ABC1-A73CD708EDCD}</author>
    <author>tc={5E3CEF0F-AC62-41D5-A934-AC03EDB0B8D2}</author>
    <author>tc={A6199460-FC62-44E6-AB78-D712E7363C57}</author>
  </authors>
  <commentList>
    <comment ref="C2" authorId="0" shapeId="0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personal balance</t>
        </r>
      </text>
    </comment>
    <comment ref="D2" authorId="1" shapeId="0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pivot table „Cash journal“</t>
        </r>
      </text>
    </comment>
    <comment ref="E2" authorId="2" shapeId="0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pivot table „data“</t>
        </r>
      </text>
    </comment>
    <comment ref="H2" authorId="3" shapeId="0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personal balance</t>
        </r>
      </text>
    </comment>
    <comment ref="I2" authorId="4" shapeId="0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formula</t>
        </r>
      </text>
    </comment>
    <comment ref="C19" authorId="5" shapeId="0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bank journal</t>
        </r>
      </text>
    </comment>
    <comment ref="I19" authorId="6" shapeId="0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bank journal</t>
        </r>
      </text>
    </comment>
    <comment ref="C25" authorId="7" shapeId="0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cash journal</t>
        </r>
      </text>
    </comment>
    <comment ref="H25" authorId="8" shapeId="0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cash journal</t>
        </r>
      </text>
    </comment>
  </commentList>
</comments>
</file>

<file path=xl/comments2.xml><?xml version="1.0" encoding="utf-8"?>
<comments xmlns="http://schemas.openxmlformats.org/spreadsheetml/2006/main">
  <authors>
    <author>tc={C1DF0F66-A833-40DC-8B4A-5A54471ED649}</author>
    <author>tc={F88D673A-DD35-4DCB-976B-8A96F322437E}</author>
  </authors>
  <commentList>
    <comment ref="C6" authorId="0" shapeId="0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Adjust that according to your country</t>
        </r>
      </text>
    </comment>
    <comment ref="F23" authorId="1" shapeId="0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cash journal</t>
        </r>
      </text>
    </comment>
  </commentList>
</comments>
</file>

<file path=xl/sharedStrings.xml><?xml version="1.0" encoding="utf-8"?>
<sst xmlns="http://schemas.openxmlformats.org/spreadsheetml/2006/main" count="32624" uniqueCount="4074">
  <si>
    <t>Date</t>
  </si>
  <si>
    <t>Details</t>
  </si>
  <si>
    <t>Type of expenses</t>
  </si>
  <si>
    <t xml:space="preserve">Department </t>
  </si>
  <si>
    <t>Spent in $</t>
  </si>
  <si>
    <t>Exchange Rate $</t>
  </si>
  <si>
    <t>Receipt</t>
  </si>
  <si>
    <t>Project</t>
  </si>
  <si>
    <t>Donor</t>
  </si>
  <si>
    <t>Country</t>
  </si>
  <si>
    <t>Name</t>
  </si>
  <si>
    <t>Department</t>
  </si>
  <si>
    <t>Received</t>
  </si>
  <si>
    <t>Spent</t>
  </si>
  <si>
    <t>Accounting Balance</t>
  </si>
  <si>
    <t>Cross-checking</t>
  </si>
  <si>
    <t>Transfer In</t>
  </si>
  <si>
    <t>Transfer  out</t>
  </si>
  <si>
    <t>TOTAL STAFF</t>
  </si>
  <si>
    <t>TOTAL Banks</t>
  </si>
  <si>
    <t>control of internal transfers</t>
  </si>
  <si>
    <t xml:space="preserve">Total expenses </t>
  </si>
  <si>
    <t>Cash Box</t>
  </si>
  <si>
    <t>MOVEMENTS</t>
  </si>
  <si>
    <t>EXPENSES</t>
  </si>
  <si>
    <t>ACCOUNTING BALANCE</t>
  </si>
  <si>
    <t>CROSS-CHECKING</t>
  </si>
  <si>
    <t>OVERALL BALANCE</t>
  </si>
  <si>
    <t>BANK 1</t>
  </si>
  <si>
    <t xml:space="preserve">Spent </t>
  </si>
  <si>
    <t>Balance</t>
  </si>
  <si>
    <t>GRANTS RECEIVED</t>
  </si>
  <si>
    <t>EAGLE NETWORK</t>
  </si>
  <si>
    <t xml:space="preserve">PROJECT: </t>
  </si>
  <si>
    <t>MONTH</t>
  </si>
  <si>
    <t xml:space="preserve">Bank reconciliation statments </t>
  </si>
  <si>
    <t>ACCOUNTING</t>
  </si>
  <si>
    <t xml:space="preserve">n° </t>
  </si>
  <si>
    <t>Description</t>
  </si>
  <si>
    <t>Débit</t>
  </si>
  <si>
    <t>Crédit</t>
  </si>
  <si>
    <t>Bank balance</t>
  </si>
  <si>
    <t>Account Balance</t>
  </si>
  <si>
    <t>PROJECT COORDINATOR</t>
  </si>
  <si>
    <t>BANK</t>
  </si>
  <si>
    <t>No</t>
  </si>
  <si>
    <t>Amount</t>
  </si>
  <si>
    <t>Add:</t>
  </si>
  <si>
    <t>Unpresented cheques</t>
  </si>
  <si>
    <t>Balance as per the bank statement</t>
  </si>
  <si>
    <t>Difference</t>
  </si>
  <si>
    <t>Reason for the Difference.</t>
  </si>
  <si>
    <t>currency</t>
  </si>
  <si>
    <t>Balance as per the accounting</t>
  </si>
  <si>
    <t>Signature accountant</t>
  </si>
  <si>
    <t>signature coordinator</t>
  </si>
  <si>
    <t xml:space="preserve"> Reconciliation Statement </t>
  </si>
  <si>
    <t>Paper Notes</t>
  </si>
  <si>
    <t>x</t>
  </si>
  <si>
    <t>Coins</t>
  </si>
  <si>
    <t>cash balance</t>
  </si>
  <si>
    <t>account balance</t>
  </si>
  <si>
    <t>difference</t>
  </si>
  <si>
    <t>value</t>
  </si>
  <si>
    <t>number</t>
  </si>
  <si>
    <t>Accountant:</t>
  </si>
  <si>
    <t>Coordinator:</t>
  </si>
  <si>
    <t>Project:</t>
  </si>
  <si>
    <t>Month:</t>
  </si>
  <si>
    <t>Year:</t>
  </si>
  <si>
    <t>Comments</t>
  </si>
  <si>
    <t>comments</t>
  </si>
  <si>
    <t>Balance  in USD</t>
  </si>
  <si>
    <t>exchange rate</t>
  </si>
  <si>
    <t>Opening Balance local currency</t>
  </si>
  <si>
    <t>Opening Balance USD</t>
  </si>
  <si>
    <t>Donated local currency</t>
  </si>
  <si>
    <t>Donated USD</t>
  </si>
  <si>
    <t>Used in local currency</t>
  </si>
  <si>
    <t>Used in USD</t>
  </si>
  <si>
    <t>Balance in local currency</t>
  </si>
  <si>
    <t>January</t>
  </si>
  <si>
    <t>February</t>
  </si>
  <si>
    <t xml:space="preserve">March </t>
  </si>
  <si>
    <t>April</t>
  </si>
  <si>
    <t xml:space="preserve">May </t>
  </si>
  <si>
    <t>June</t>
  </si>
  <si>
    <t xml:space="preserve">July </t>
  </si>
  <si>
    <t xml:space="preserve">August </t>
  </si>
  <si>
    <t xml:space="preserve">September </t>
  </si>
  <si>
    <t xml:space="preserve">October </t>
  </si>
  <si>
    <t xml:space="preserve">November </t>
  </si>
  <si>
    <t xml:space="preserve">December </t>
  </si>
  <si>
    <t>Total</t>
  </si>
  <si>
    <t>Balance in financial report</t>
  </si>
  <si>
    <t>Bank name: BCI</t>
  </si>
  <si>
    <t>Account name:  01100-37107202652-34</t>
  </si>
  <si>
    <t>PALF</t>
  </si>
  <si>
    <t>Reglement loyer du mois de Janvier 2025/3654789</t>
  </si>
  <si>
    <t>Reglement Facture Gardiennage Mois de Janvier 2025/36564792</t>
  </si>
  <si>
    <t>Solde honoraire contrat n°79 Dolisie cas BOUTSANA et Consorts/ Maître BANZOUZI Alain</t>
  </si>
  <si>
    <t>Solde honoraire contrat n°67 Sibiti et Consorts/ Maître Helene</t>
  </si>
  <si>
    <t>RAPATRIEME01100 RAO00010730</t>
  </si>
  <si>
    <t>Paiement salaire du mois de Janvier 2025</t>
  </si>
  <si>
    <t>Paiement salaire du mois de Janvier 2025/Loundou Jean Romain</t>
  </si>
  <si>
    <t>Paiement salaire du mois de Janvier 2025/Crepin IBOUILI IBOUILI</t>
  </si>
  <si>
    <t>Paiement salaire du mois de Janvier 2025/Merveille MAHANGA</t>
  </si>
  <si>
    <t>Paiement salaire du mois de Janvier 2025 et congé/PINDI BINGA Donald-Roméo</t>
  </si>
  <si>
    <t>Paiement salaire du mois de Janvier 2025/BOUNGOU Abraham</t>
  </si>
  <si>
    <t>Paiement salaire du mois de Janvier 2025/FOUMBA Roderlin</t>
  </si>
  <si>
    <t>Paiement salaire du mois de Janvier 2025/Evariste LELOUSSI</t>
  </si>
  <si>
    <t>Frais de virement salaire Janvier 2025</t>
  </si>
  <si>
    <t>Reglement honoraire du mois de Janvier 2025/G12</t>
  </si>
  <si>
    <t>Reglement honoraire du mois de Janvier 2025/T73</t>
  </si>
  <si>
    <t>Reglement honoraire du mois de Janvier 2025/P29</t>
  </si>
  <si>
    <t>Reglement honoraire du mois de Janvier 2025/TIT87</t>
  </si>
  <si>
    <t>Legal</t>
  </si>
  <si>
    <t>Office</t>
  </si>
  <si>
    <t>Management</t>
  </si>
  <si>
    <t>Media</t>
  </si>
  <si>
    <t>Investigation</t>
  </si>
  <si>
    <t>Type de depense</t>
  </si>
  <si>
    <t>Lawyer Fees</t>
  </si>
  <si>
    <t>Versement</t>
  </si>
  <si>
    <t>Grant</t>
  </si>
  <si>
    <t>Rent &amp; Utilities</t>
  </si>
  <si>
    <t>Personnel</t>
  </si>
  <si>
    <t>Bank fees</t>
  </si>
  <si>
    <t>BQ-J-R1</t>
  </si>
  <si>
    <t>BQ-J-R2</t>
  </si>
  <si>
    <t>BQ-J-G1</t>
  </si>
  <si>
    <t>BQ-J-R3</t>
  </si>
  <si>
    <t>BQ-J-R4</t>
  </si>
  <si>
    <t>BQ-J-R5</t>
  </si>
  <si>
    <t>BQ-J-R6</t>
  </si>
  <si>
    <t>BQ-J-R7</t>
  </si>
  <si>
    <t>BQ-J-R8</t>
  </si>
  <si>
    <t>BQ-J-R9</t>
  </si>
  <si>
    <t>BQ-J-R10</t>
  </si>
  <si>
    <t>BQ-J-R11</t>
  </si>
  <si>
    <t>BQ-J-R12</t>
  </si>
  <si>
    <t>BQ-J-R13</t>
  </si>
  <si>
    <t>BQ-J-R14</t>
  </si>
  <si>
    <t>BQ-J-R15</t>
  </si>
  <si>
    <t>BQ-J-R16</t>
  </si>
  <si>
    <t>BQ-J-R17</t>
  </si>
  <si>
    <t>BQ-J-R18</t>
  </si>
  <si>
    <t>BCI</t>
  </si>
  <si>
    <t>Receved in XAF</t>
  </si>
  <si>
    <t>Spent  in XAF</t>
  </si>
  <si>
    <t>Achat credit MTN/Benin pour internet  et communication</t>
  </si>
  <si>
    <t>Telephone</t>
  </si>
  <si>
    <t>DOVI</t>
  </si>
  <si>
    <t>DH-J-R1</t>
  </si>
  <si>
    <t>CONGO</t>
  </si>
  <si>
    <t>Achat credit  teléphonique MTN/PALF/Première partie du mois de Janvier 2025/Office</t>
  </si>
  <si>
    <t>Merveille</t>
  </si>
  <si>
    <t>CA-J-R1</t>
  </si>
  <si>
    <t>Achat credit  teléphonique MTN/PALF/Première partie du mois de Janvier 2025/Legal</t>
  </si>
  <si>
    <t>CA-J-R2</t>
  </si>
  <si>
    <t>Achat credit  teléphonique MTN/PALF/Première partie du mois de Janvier 2025/Investigation</t>
  </si>
  <si>
    <t>CA-J-R3</t>
  </si>
  <si>
    <t>Achat credit  teléphonique MTN/PALF/Première partie du mois de Janvier 2025/Media</t>
  </si>
  <si>
    <t>CA-J-R4</t>
  </si>
  <si>
    <t>Achat credit  teléphonique Airtel/PALF/Première partie du mois de Janvier 2025/Legal</t>
  </si>
  <si>
    <t>CA-J-R5</t>
  </si>
  <si>
    <t>Achat credit  teléphonique Airtel/PALF/Première partie du mois de Janvier 2025/Investigation</t>
  </si>
  <si>
    <t>CA-J-R6</t>
  </si>
  <si>
    <t>Achat credit  teléphonique Airtel/PALF/Première partie du mois de Janvier 2025/Media</t>
  </si>
  <si>
    <t>CA-J-R7</t>
  </si>
  <si>
    <t>Achat eau mineral 10 bidons de 16,5Litres pour le bureau PALF</t>
  </si>
  <si>
    <t>Office Materiels</t>
  </si>
  <si>
    <t>CA-J-R8</t>
  </si>
  <si>
    <t>Transport</t>
  </si>
  <si>
    <t>T73</t>
  </si>
  <si>
    <t>T73-J-R1</t>
  </si>
  <si>
    <t>Travel Subsistence</t>
  </si>
  <si>
    <t>T73-J-D1</t>
  </si>
  <si>
    <t>Achat billet d'Avion Retour Cotonou - Brazzaville/DOVI</t>
  </si>
  <si>
    <t>DH-J-R2</t>
  </si>
  <si>
    <t>Frais de transfert d'argent à DOVI</t>
  </si>
  <si>
    <t>Transfert fees</t>
  </si>
  <si>
    <t>CA-J-R9</t>
  </si>
  <si>
    <t>P29</t>
  </si>
  <si>
    <t>P29-J-R1</t>
  </si>
  <si>
    <t>Achat de Billet Brazzaville-Owando/Romain</t>
  </si>
  <si>
    <t>Romain</t>
  </si>
  <si>
    <t>RM-J-R1</t>
  </si>
  <si>
    <t>Achat billet Brazzaville - Owando/Abraham</t>
  </si>
  <si>
    <t>Abraham</t>
  </si>
  <si>
    <t>AB-J-R1</t>
  </si>
  <si>
    <t>Frais de transfert d'argent à T73</t>
  </si>
  <si>
    <t>Roderlin</t>
  </si>
  <si>
    <t>CA-J-R10</t>
  </si>
  <si>
    <t>Achat billet Brazzaville-Owando/Donald-Roméo</t>
  </si>
  <si>
    <t xml:space="preserve">Transport </t>
  </si>
  <si>
    <t>Donald-Roméo</t>
  </si>
  <si>
    <t>DR-J-R1</t>
  </si>
  <si>
    <t>Billet: Brazzaville-Owando/Crepin</t>
  </si>
  <si>
    <t>Crépin</t>
  </si>
  <si>
    <t>CR-J-R1</t>
  </si>
  <si>
    <t>OAK</t>
  </si>
  <si>
    <t>P29-J-D1</t>
  </si>
  <si>
    <t>ROMAIN-CONGO Food Alowance du 09 au 25  janvier à Owando(16 Nuitées)</t>
  </si>
  <si>
    <t>RM-J-D1</t>
  </si>
  <si>
    <t>ABRAHAM - CONGO food allowance du 09 au 17/01/2025 à Owando (08Nuitées)</t>
  </si>
  <si>
    <t>AB-J-D1</t>
  </si>
  <si>
    <t>Frais de transfert d'argent à P29 et Romain</t>
  </si>
  <si>
    <t>CA-J-R11</t>
  </si>
  <si>
    <t>Donald-Roméo - CONGO Food Allowance Mission du  09 au 19/01/2025 à Owando</t>
  </si>
  <si>
    <t>DR-J-D1</t>
  </si>
  <si>
    <t>Achat billet Brazzaville-Owando/Evariste</t>
  </si>
  <si>
    <t>Evariste</t>
  </si>
  <si>
    <t>EV-J-R1</t>
  </si>
  <si>
    <t>CREPIN IBOUILI - CONGO Food-Allowance à Owando du 10 au 25/01/2025/(15 Nuitées)</t>
  </si>
  <si>
    <t>CR-J-D1</t>
  </si>
  <si>
    <t>CA-J-R12</t>
  </si>
  <si>
    <t>Reglement facture d'electricité periode Novembre - Decembre 2024/Bureau PALF</t>
  </si>
  <si>
    <t>CA-J-R13</t>
  </si>
  <si>
    <t>EVARISTE - CONGO Food Allowance du 10 au 17 janvier 2025 mission à Owando (7 nuitées)</t>
  </si>
  <si>
    <t>EV-J-D1</t>
  </si>
  <si>
    <t>CREPIN IBOUILI  - CONGO Frais d'hôtel à Owando du 10 au 13/01/2025 (03 Nuitées)</t>
  </si>
  <si>
    <t>CR-J-R2</t>
  </si>
  <si>
    <t>P29-J-R2</t>
  </si>
  <si>
    <t>CA-J-R14</t>
  </si>
  <si>
    <t>Frais de transfert d'argent à Romain,P29 et Donald-Roméo</t>
  </si>
  <si>
    <t>CA-J-R15</t>
  </si>
  <si>
    <t>Raffraichissement et plats avec 03 gendarmes pendant l'attente du top</t>
  </si>
  <si>
    <t>CR-J-R3</t>
  </si>
  <si>
    <t>Achat credit  teléphonique MTN/PALF/Deuxième partie du mois de Janvier 2025/Management</t>
  </si>
  <si>
    <t>CA-J-R17</t>
  </si>
  <si>
    <t>Achat credit  teléphonique MTN/PALF/Deuxième partie du mois de Janvier 2025/Legal</t>
  </si>
  <si>
    <t>CA-J-R18</t>
  </si>
  <si>
    <t>Achat credit  teléphonique MTN/PALF/Deuxième partie du mois de Janvier 2025/Investigation</t>
  </si>
  <si>
    <t>CA-J-R19</t>
  </si>
  <si>
    <t>Achat credit  teléphonique MTN/PALF/Deuxième partie du mois de Janvier 2025/Media</t>
  </si>
  <si>
    <t>CA-J-R20</t>
  </si>
  <si>
    <t>Achat credit  teléphonique Airtel/PALF/Deuxième partie du mois de Janvier 2025/Legal</t>
  </si>
  <si>
    <t>CA-J-R21</t>
  </si>
  <si>
    <t>Achat credit  teléphonique Airtel/PALF/Deuxième partie du mois de Janvier 2025/Investigation</t>
  </si>
  <si>
    <t>CA-J-R22</t>
  </si>
  <si>
    <t>P29-J-R3</t>
  </si>
  <si>
    <t>T73-J-R2</t>
  </si>
  <si>
    <t>Location  1 Taxis pour l'opération (Gendarmerie-Hotel  la Concorde:Aller-Retour)</t>
  </si>
  <si>
    <t>RM-J-R2</t>
  </si>
  <si>
    <t>RM-J-R3</t>
  </si>
  <si>
    <t xml:space="preserve">Rafraichissement en attente opération </t>
  </si>
  <si>
    <t>RM-J-R4</t>
  </si>
  <si>
    <t>ABRAHAM - CONGO frais d'Hôtel (Hôtel Joela) du 09 au 15/01/2025 Owando (06Nuitées)</t>
  </si>
  <si>
    <t>AB-J-R2</t>
  </si>
  <si>
    <t>Rafraîchissement attente op</t>
  </si>
  <si>
    <t>AB-J-R3</t>
  </si>
  <si>
    <t>Achat billet Brazzaville-Dolisie/Rodelin</t>
  </si>
  <si>
    <t>RO-J-R1</t>
  </si>
  <si>
    <t>Frais de mission maitre marie Helène à dolisie du 16 au 18/01/2025</t>
  </si>
  <si>
    <t>Lawyer fees</t>
  </si>
  <si>
    <t>CA-J-R16</t>
  </si>
  <si>
    <t>Achat carburant BJ  pour OP</t>
  </si>
  <si>
    <t>DR-J-R2</t>
  </si>
  <si>
    <t>Raffraichissement OP  à Owando/10  gendarmes et moi</t>
  </si>
  <si>
    <t>DR-J-R3</t>
  </si>
  <si>
    <t>Rafraichissement de mon équipe lors de l'opération</t>
  </si>
  <si>
    <t>EV-J-R2</t>
  </si>
  <si>
    <t>Bonus pour 16 gendarmes ayant participé à l'opération du 15 Janvier 2025 à Owando</t>
  </si>
  <si>
    <t>Bonus</t>
  </si>
  <si>
    <t>CR-J-R4</t>
  </si>
  <si>
    <t>Bonus pour 02 EF ayant participé à l'opération du 15 Janvier 2025 à Owando</t>
  </si>
  <si>
    <t>CR-J-R5</t>
  </si>
  <si>
    <t>Frais de transfert d'argent à Crepin,T73 et Evariste</t>
  </si>
  <si>
    <t>CA-J-R23</t>
  </si>
  <si>
    <t>Achat billet Oyo-Brazzaville(Océan du Nord)/Abraham</t>
  </si>
  <si>
    <t>AB-J-R4</t>
  </si>
  <si>
    <t>RODERLIN-CONGO food allowance du 16 au 18/01/2025 à Dolisie (02 nuitées)</t>
  </si>
  <si>
    <t>RO-J-D1</t>
  </si>
  <si>
    <t>Achat billet Owando-Brazzaville/Evariste</t>
  </si>
  <si>
    <t>EV-J-R3</t>
  </si>
  <si>
    <t>Frais de transfert d'argent à Donald-Roméo et Romain</t>
  </si>
  <si>
    <t>CA-J-R24</t>
  </si>
  <si>
    <t>Frais de mission maitre Alain BANZOUZI du 19 au 22/01/2025 à Owando</t>
  </si>
  <si>
    <t>CA-J-R25</t>
  </si>
  <si>
    <t>P29-J-R4</t>
  </si>
  <si>
    <t>P29-J-R5</t>
  </si>
  <si>
    <t>P29-J-R6</t>
  </si>
  <si>
    <t>P29-J-R7</t>
  </si>
  <si>
    <t>T73-J-R3</t>
  </si>
  <si>
    <t>T73-J-R4</t>
  </si>
  <si>
    <t>ABRAHAM - CONGO frais d'Hôtel (Hôtel Saint Benoit) du 17 au 17/01/2025 Oyo (02Nuitées)</t>
  </si>
  <si>
    <t>AB-J-R5</t>
  </si>
  <si>
    <t>Cumul frais de Jail visit du mois de Janvier 2025/Roderlin</t>
  </si>
  <si>
    <t>RO-J-D2</t>
  </si>
  <si>
    <t>Achat billet Dolisie -Brazzaville /Roderlin</t>
  </si>
  <si>
    <t>RO-J-R2</t>
  </si>
  <si>
    <t>DR-J-R4</t>
  </si>
  <si>
    <t>EVARISTE - CONGO Frais d'hôtel du 10 au 17 janvier 2025 (7 nuitées) à Owando</t>
  </si>
  <si>
    <t>EV-J-R4</t>
  </si>
  <si>
    <t>RODERLIN-CONGO frais d'hôtel du 16 au 18/01/2025 à DOLISIE (02 nuitées)</t>
  </si>
  <si>
    <t>RO-J-R3</t>
  </si>
  <si>
    <t>DONALD-ROMEO - CONGO Frais d'hôtel du 09 au 19/01/2025 à  Owando (Hôtel  Joella)/ 10 Nuitées</t>
  </si>
  <si>
    <t>DR-J-R5</t>
  </si>
  <si>
    <t>Cumul frais de transport local du mois de Janvier 2025/Donald-Roméo</t>
  </si>
  <si>
    <t>DR-J-D2</t>
  </si>
  <si>
    <t>CA-J-R26</t>
  </si>
  <si>
    <t>Prestation de nettoyage Jardin PALF mois de Janvier 2025</t>
  </si>
  <si>
    <t>Services</t>
  </si>
  <si>
    <t>CA-J-R27</t>
  </si>
  <si>
    <t>T73-J-R5</t>
  </si>
  <si>
    <t>Achat carte sim pour T73</t>
  </si>
  <si>
    <t>Investigation materials</t>
  </si>
  <si>
    <t>T73-J-R16</t>
  </si>
  <si>
    <t>Impréssion de la procédure de la Gendaremrie</t>
  </si>
  <si>
    <t>RM-J-R5</t>
  </si>
  <si>
    <t>Cumul frais de jail visit du mois de Janvier 2025/Romain</t>
  </si>
  <si>
    <t>Jail visit</t>
  </si>
  <si>
    <t>RM-J-D2</t>
  </si>
  <si>
    <t>Bonus media portant sur l'operation du 15/01/2025</t>
  </si>
  <si>
    <t>CA-J-D1</t>
  </si>
  <si>
    <t>IT87</t>
  </si>
  <si>
    <t>IT87-J-D1</t>
  </si>
  <si>
    <t>IT87-J-R1</t>
  </si>
  <si>
    <t>P29-J-R8</t>
  </si>
  <si>
    <t>P29-J-D2</t>
  </si>
  <si>
    <t>T73-J-D2</t>
  </si>
  <si>
    <t>G12</t>
  </si>
  <si>
    <t>G12-J-R1</t>
  </si>
  <si>
    <t>G12-J-D1</t>
  </si>
  <si>
    <t>Cumul frais de transport local du mois de Janvier 2025/Abraham</t>
  </si>
  <si>
    <t>AB-J-D2</t>
  </si>
  <si>
    <t xml:space="preserve">Frais de transfert d'argent à Romain </t>
  </si>
  <si>
    <t>CA-J-R28</t>
  </si>
  <si>
    <t>Recharge bouteille de gaz de 12KG/Bureau PALF</t>
  </si>
  <si>
    <t>CA-J-R29</t>
  </si>
  <si>
    <t>Frais de notification contrat Roderlin et Abraham</t>
  </si>
  <si>
    <t>CA-J-R31</t>
  </si>
  <si>
    <t>Frais de transfert d'argent à T73,P29,IT87 et G12</t>
  </si>
  <si>
    <t>CA-J-R30</t>
  </si>
  <si>
    <t>Billet: Owando-Brazzaville/Crepin</t>
  </si>
  <si>
    <t>CR-J-R6</t>
  </si>
  <si>
    <t>IT87-J-R2</t>
  </si>
  <si>
    <t>IT87-J-R3</t>
  </si>
  <si>
    <t>P29-J-R9</t>
  </si>
  <si>
    <t>P29-J-R10</t>
  </si>
  <si>
    <t>T73-J-R6</t>
  </si>
  <si>
    <t>T73-J-R7</t>
  </si>
  <si>
    <t>G12-J-R2</t>
  </si>
  <si>
    <t>G12-J-R3</t>
  </si>
  <si>
    <t>Achat de Billet Owando-Brazzaville/Romain</t>
  </si>
  <si>
    <t>CREPIN IBOUILI  - CONGO Frais d'hôtel à Owando du 15 au 25/01/2025/10 Nuitées</t>
  </si>
  <si>
    <t>CR-J-R7</t>
  </si>
  <si>
    <t>Cumul frais de transport local du mois de Janvier 2025/Crepin</t>
  </si>
  <si>
    <t>CR-J-D2</t>
  </si>
  <si>
    <t>ROMAIN - CONGO Frais d'hôtel de la mission du 09 au 25/2025 à Owando(16 nuitées)</t>
  </si>
  <si>
    <t>RM-J-R7</t>
  </si>
  <si>
    <t>IT87-J-R4</t>
  </si>
  <si>
    <t>Achat billet Mouyondzi - Bouansa/ IT87</t>
  </si>
  <si>
    <t>IT87-J-R5</t>
  </si>
  <si>
    <t>P29-J-R11</t>
  </si>
  <si>
    <t>P29-J-R12</t>
  </si>
  <si>
    <t>P29-J-R13</t>
  </si>
  <si>
    <t>T73-J-R8</t>
  </si>
  <si>
    <t>T73-J-R9</t>
  </si>
  <si>
    <t>G12-J-R4</t>
  </si>
  <si>
    <t>G12-J-R5</t>
  </si>
  <si>
    <t>Prime de fin d'année Donald-Roméo</t>
  </si>
  <si>
    <t>CA-J-D2</t>
  </si>
  <si>
    <t>Cumul frais de trust building du mois de Janvier 2025/IT87</t>
  </si>
  <si>
    <t>Trust Building</t>
  </si>
  <si>
    <t>IT87-J-D2</t>
  </si>
  <si>
    <t>Cumul frais de trust building du mois de Janvier 2025/G12</t>
  </si>
  <si>
    <t>Trust building</t>
  </si>
  <si>
    <t>G12-J-D2</t>
  </si>
  <si>
    <t>Bonus du mois de Janvier 2025/Donald-Roméo</t>
  </si>
  <si>
    <t>CA-J-D3</t>
  </si>
  <si>
    <t>Bonus Opération du 15/01/2025 à Owando</t>
  </si>
  <si>
    <t>CA-J-D4</t>
  </si>
  <si>
    <t>Paiement retraite Coordinateur periode Octobre,Novembre et Decembre 2024</t>
  </si>
  <si>
    <t>CA-J-R33</t>
  </si>
  <si>
    <t>IT87-J-R6</t>
  </si>
  <si>
    <t>IT87-J-R7</t>
  </si>
  <si>
    <t>P29-J-R14</t>
  </si>
  <si>
    <t>P29-J-R15</t>
  </si>
  <si>
    <t>T73-J-R10</t>
  </si>
  <si>
    <t>T73-J-R11</t>
  </si>
  <si>
    <t>G12-J-R6</t>
  </si>
  <si>
    <t>G12-J-R7</t>
  </si>
  <si>
    <t>Achat carburant 100litre de Gazoil/Groupe electrogène PALF</t>
  </si>
  <si>
    <t>CA-J-R32</t>
  </si>
  <si>
    <t>Règlement prestation technicienne de surface (mois de Janvier 2025)</t>
  </si>
  <si>
    <t>CA-J-R34</t>
  </si>
  <si>
    <t>P29-J-R16</t>
  </si>
  <si>
    <t>P29-J-R17</t>
  </si>
  <si>
    <t>Cumul frais de trust building du mois de Janvier 2025/P29</t>
  </si>
  <si>
    <t>P29-J-D3</t>
  </si>
  <si>
    <t>T73-J-R12</t>
  </si>
  <si>
    <t>T73-J-R13</t>
  </si>
  <si>
    <t>Cumul frais de trust building du mois de Janvier 2025/T73</t>
  </si>
  <si>
    <t>T73-J-D3</t>
  </si>
  <si>
    <t>G12-J-R8</t>
  </si>
  <si>
    <t>G12-J-R9</t>
  </si>
  <si>
    <t>G12-J-R10</t>
  </si>
  <si>
    <t>IT87-J-R8</t>
  </si>
  <si>
    <t>IT87-J-R9</t>
  </si>
  <si>
    <t>Cumul frais de transport local du mois de Janvier 2025/IT87</t>
  </si>
  <si>
    <t>IT87-J-D3</t>
  </si>
  <si>
    <t>P29-J-R18</t>
  </si>
  <si>
    <t>P29-J-R19</t>
  </si>
  <si>
    <t>Cumul frais de transport local du mois de Janvier 2025/P29</t>
  </si>
  <si>
    <t>P29-J-D4</t>
  </si>
  <si>
    <t>T73-J-R14</t>
  </si>
  <si>
    <t>T73-J-R15</t>
  </si>
  <si>
    <t>Cumul frais de transport local du mois de Janvier 2025/T73</t>
  </si>
  <si>
    <t>T73-J-D4</t>
  </si>
  <si>
    <t>G12-J-R11</t>
  </si>
  <si>
    <t>Cumul frais de transport local du mois Janvier 2025/G12</t>
  </si>
  <si>
    <t>G12-J-D3</t>
  </si>
  <si>
    <t>Cumul frais de transport local du mois de Janvier 2025/Roderlin</t>
  </si>
  <si>
    <t>RO-J-D3</t>
  </si>
  <si>
    <t>Cumul frais de transport local du mois de Janvier 2025/EVARISTE</t>
  </si>
  <si>
    <t>EV-J-D2</t>
  </si>
  <si>
    <t>Bonus media portant sur le bilan des interpellation de 2023 et 2024</t>
  </si>
  <si>
    <t>CA-J-D5</t>
  </si>
  <si>
    <t>Cumul frais de transport local du mois de Janvier 2025/DOVI</t>
  </si>
  <si>
    <t>DH-J-D1</t>
  </si>
  <si>
    <t>Reglement loyer du mois de Janvier 2025/DOVI Coordinateur PALF</t>
  </si>
  <si>
    <t>personnel</t>
  </si>
  <si>
    <t>DH-J-R3</t>
  </si>
  <si>
    <t>Cumul frais de transport local du mois de Janvier 2025/Merveille</t>
  </si>
  <si>
    <t>ME-J-D1</t>
  </si>
  <si>
    <t>Ramassage Ordure/bureau PALF</t>
  </si>
  <si>
    <t>CA-J-R35</t>
  </si>
  <si>
    <t>Reglement facture internet perionde du 01/02 au 28/02/2025 bureau PALF</t>
  </si>
  <si>
    <t xml:space="preserve">Internet </t>
  </si>
  <si>
    <t>CA-J-R36</t>
  </si>
  <si>
    <t>Cumul frais de transport local du mois de Janvier 2025/LOUNDOU Jean Romain</t>
  </si>
  <si>
    <t>RM-J-D3</t>
  </si>
  <si>
    <t>Installation Pack office et activation et installation des pratiques logiques</t>
  </si>
  <si>
    <t>Website and software</t>
  </si>
  <si>
    <t>CA-J-R37</t>
  </si>
  <si>
    <t>Donald-Romeo</t>
  </si>
  <si>
    <t>Donors 2025</t>
  </si>
  <si>
    <t>Rufford</t>
  </si>
  <si>
    <t>Dovi</t>
  </si>
  <si>
    <t>I55S</t>
  </si>
  <si>
    <t>Investigations</t>
  </si>
  <si>
    <t>I73X</t>
  </si>
  <si>
    <t>COMPTA DOVI - Coordinateur</t>
  </si>
  <si>
    <t>Détails dépenses</t>
  </si>
  <si>
    <t>Types dépenses (Personnel, Bonus/ Lawyer Bonus, Travel Expenses, Travel subsistence, Office Materials,Rent &amp; Utilities, Services,Telephone, Internet,Bonus,Trust building, Bank charges,Transfer fees, Jail Visits, Editing Costs,Equipment, Publications, Cour</t>
  </si>
  <si>
    <t>Département (Investigations, Legal, Operations, Media, Management, CCU, EAGLE Family, Policy &amp; External relations)</t>
  </si>
  <si>
    <t>Montant reçu</t>
  </si>
  <si>
    <t>Montant dépensé</t>
  </si>
  <si>
    <t>Nom</t>
  </si>
  <si>
    <t>Reçu</t>
  </si>
  <si>
    <t>COMPTA Crepin - Assistant à la Coordination</t>
  </si>
  <si>
    <t>COMPTA MERVEILLE-Comptable</t>
  </si>
  <si>
    <t xml:space="preserve">COMPTA IT87 (Daniel) - Consultant Enquêteur </t>
  </si>
  <si>
    <t xml:space="preserve">COMPTA P29 (Bourgeois) - Consultant Enquêteur </t>
  </si>
  <si>
    <t xml:space="preserve">COMPTA T73 (Trésor) - Consultant Enquêteur </t>
  </si>
  <si>
    <t>COMPTA G12(&gt;&gt;&gt;&gt;) - Consultante Enquêtrice</t>
  </si>
  <si>
    <t>COMPTA Abraham-Juriste</t>
  </si>
  <si>
    <t>Reçu caisse/Roderlin</t>
  </si>
  <si>
    <t>Balalce</t>
  </si>
  <si>
    <t>COMPTA Evariste - Chargé Media</t>
  </si>
  <si>
    <t>Étiquettes de lignes</t>
  </si>
  <si>
    <t>Total général</t>
  </si>
  <si>
    <t>Somme de Spent  in XAF</t>
  </si>
  <si>
    <t xml:space="preserve">Somme de Spent </t>
  </si>
  <si>
    <t>Somme de Received</t>
  </si>
  <si>
    <t>returned to caisse</t>
  </si>
  <si>
    <t>Receved  $</t>
  </si>
  <si>
    <t>Somme de Spent in $</t>
  </si>
  <si>
    <t>Reglement facture d'hotel Eric ONA du 07 au 14/01/2025/(07 Nuitées)</t>
  </si>
  <si>
    <t>Homéfa DOVI ZENNAWOE</t>
  </si>
  <si>
    <t>Reglement loyer du mois de Décembre 2024/3654776</t>
  </si>
  <si>
    <t>Received in XAF</t>
  </si>
  <si>
    <t>Received in $</t>
  </si>
  <si>
    <t>Reglement Facture Gardiennage Mois de Décembre 2024/3654775</t>
  </si>
  <si>
    <t>Paiement Honoraire Me LOCKO/Mois de Décembre 2024/3654777</t>
  </si>
  <si>
    <t>Achat billet Owando-Brazzaville/Donald-Roméo</t>
  </si>
  <si>
    <t>Achat encre 216A et registre</t>
  </si>
  <si>
    <t>BQ-F-R1</t>
  </si>
  <si>
    <t>BQ-F-R2</t>
  </si>
  <si>
    <t>Solde honoraire contrat n°81 Owando cas Monick/ Maître BANZOUZI Alain/3654800</t>
  </si>
  <si>
    <t>BQ-F-R3</t>
  </si>
  <si>
    <t>Reglement frais d'assurance multi risque/Bureau PALF</t>
  </si>
  <si>
    <t>BQ-F-R4</t>
  </si>
  <si>
    <t>Reglement loyer du mois de Février 2025/3654804</t>
  </si>
  <si>
    <t>Achat billet, Brazzaville-Owando/Evariste</t>
  </si>
  <si>
    <t>EV-F-R1</t>
  </si>
  <si>
    <t>EVARISTE - CONGO Ration du 15 au 28 février 2025, mission d'Owando (13 nuitées)</t>
  </si>
  <si>
    <t>EV-F-D1</t>
  </si>
  <si>
    <t>EV-F-D2</t>
  </si>
  <si>
    <t>EVARISTE - CONGO Frais de l'hôtel du 15 au 25 février 2025 à Owando (10 nuitées)</t>
  </si>
  <si>
    <t>EV-F-R2</t>
  </si>
  <si>
    <t xml:space="preserve">EVARISTE - CONGO Frais de l'hôtel du 25 au 28 février 2025 (3 nuitées) </t>
  </si>
  <si>
    <t>EV-F-R3</t>
  </si>
  <si>
    <t>EV-F-R4</t>
  </si>
  <si>
    <t>Cumul frais de transport local du mois de Février 2025/Evariste</t>
  </si>
  <si>
    <t>EV-F-D3</t>
  </si>
  <si>
    <t>Bonus media portant sur l'audience du 06 Février au TG1 d'Owando</t>
  </si>
  <si>
    <t>CA-F-D1</t>
  </si>
  <si>
    <t>Bonus media portant sur la journée mondiale du Pangolin</t>
  </si>
  <si>
    <t>CA-F-D12</t>
  </si>
  <si>
    <t>Bonus media portant sur l'interpellation de deux présumé trafiquants le 24/02/2025 à Owando</t>
  </si>
  <si>
    <t>CA-F-D13</t>
  </si>
  <si>
    <t>CA-F-R11</t>
  </si>
  <si>
    <t>Achat billet Brazzaville-Owando(Trans bony)/Abraham</t>
  </si>
  <si>
    <t>AB-F-R1</t>
  </si>
  <si>
    <t>Frais de mission maitre Marie Helène NANITELAMION du 12 au 14 Février 2025 à Owando suivi audience</t>
  </si>
  <si>
    <t>CA-F-R13</t>
  </si>
  <si>
    <t>AB-F-D1</t>
  </si>
  <si>
    <t>ABRAHAM - CONGO frais d'Hôtel (Hôtel Case Mbali) du 12 au 15/02/2025 Owando (03Nuitées)</t>
  </si>
  <si>
    <t>AB-F-R2</t>
  </si>
  <si>
    <t>ABRAHAM - CONGO frais d'Hôtel  du 15au 20/02/2025 Owando (05Nuitées)</t>
  </si>
  <si>
    <t>AB-F-R5</t>
  </si>
  <si>
    <t>Rafraîchissement attente OP</t>
  </si>
  <si>
    <t>AB-F-R3</t>
  </si>
  <si>
    <t>Achat médicaments du prévenu Dodo</t>
  </si>
  <si>
    <t>AB-F-R4</t>
  </si>
  <si>
    <t>Cumul frais de jail visits du mois de Février 2025/Abraham</t>
  </si>
  <si>
    <t>AB-F-D2</t>
  </si>
  <si>
    <t>CREPIN - CONGO Ration du 15/02/ au 05/03/2025 à Owando (18 nuitées)</t>
  </si>
  <si>
    <t>CR-F-D1</t>
  </si>
  <si>
    <t>CR-F-R2</t>
  </si>
  <si>
    <t>Plats et raffraichissements</t>
  </si>
  <si>
    <t>CR-F-R3</t>
  </si>
  <si>
    <t>01 bidon d'eau de 10 litres pour les OPJ sous instruction du Coordinateur</t>
  </si>
  <si>
    <t>CR-F-D2</t>
  </si>
  <si>
    <t>Bonus pour 18 Gendarmes ayant participé à l'opération du 24/02/2025  à Owando</t>
  </si>
  <si>
    <t>CR-F-R4</t>
  </si>
  <si>
    <t>Bonus pour 02 EF ayant participé à l'opération du 24/02/2025  à Owando</t>
  </si>
  <si>
    <t>CR-F-R5</t>
  </si>
  <si>
    <t>Cumul frais de transport local du mois de Février 2025/Crepin IBOUILI IBOUILI</t>
  </si>
  <si>
    <t>CR-F-D3</t>
  </si>
  <si>
    <t>CR-F-R1</t>
  </si>
  <si>
    <t>Achat credit  teléphonique MTN/PALF/Première partie du mois de Février 2025/Management</t>
  </si>
  <si>
    <t>CA-F-R1</t>
  </si>
  <si>
    <t>Achat credit  teléphonique MTN/PALF/Première partie du mois de Février 2025/Legal</t>
  </si>
  <si>
    <t>CA-F-R2</t>
  </si>
  <si>
    <t>Achat credit  teléphonique MTN/PALF/Première partie du mois de Février 2025/Investigation</t>
  </si>
  <si>
    <t>CA-F-R3</t>
  </si>
  <si>
    <t>Achat credit  teléphonique MTN/PALF/Première partie du mois de Février 2025/Media</t>
  </si>
  <si>
    <t>CA-F-R4</t>
  </si>
  <si>
    <t>Achat credit  teléphonique Airtel/PALF/Première partie du mois de Février 2025/Legal</t>
  </si>
  <si>
    <t>CA-F-R5</t>
  </si>
  <si>
    <t>Achat credit  teléphonique Airtel/PALF/Première partie du mois de Février 2025/Investigation</t>
  </si>
  <si>
    <t>CA-F-R6</t>
  </si>
  <si>
    <t>Achat credit  teléphonique Airtel/PALF/Première partie du mois de Février 2025/Media</t>
  </si>
  <si>
    <t>CA-F-R7</t>
  </si>
  <si>
    <t>Frais de mission maitre Alain BANZOUZI du 05 au 07 Février 2025 à Owando suivi audience</t>
  </si>
  <si>
    <t>CA-F-R8</t>
  </si>
  <si>
    <t>Achat eau mineral 16 LITRES/Bureau</t>
  </si>
  <si>
    <t>CA-F-R9</t>
  </si>
  <si>
    <t>Achat produit d'entretien lait,sucre,javel,papier toilette,sucre,café/Bureau PALF</t>
  </si>
  <si>
    <t>CA-F-R10</t>
  </si>
  <si>
    <t>Frais de transfert d'argent à G12</t>
  </si>
  <si>
    <t>CA-F-R12</t>
  </si>
  <si>
    <t>Frais de transfert d'argent à P29</t>
  </si>
  <si>
    <t>CA-F-R14</t>
  </si>
  <si>
    <t>Bonus du mois de Janvier 2025/Merveille</t>
  </si>
  <si>
    <t>CA-F-D2</t>
  </si>
  <si>
    <t>Bonus du mois de Janvier 2025/Crepin</t>
  </si>
  <si>
    <t>CA-F-D3</t>
  </si>
  <si>
    <t>Bonus du mois de Janvier 2025/Romain</t>
  </si>
  <si>
    <t>CA-F-D4</t>
  </si>
  <si>
    <t>Bonus du mois de Janvier 2025/Abraham</t>
  </si>
  <si>
    <t>CA-F-D5</t>
  </si>
  <si>
    <t>Bonus du mois de Janvier 2025/Roderlin</t>
  </si>
  <si>
    <t>CA-F-D6</t>
  </si>
  <si>
    <t>Bonus du mois de Janvier 2025/Evariste</t>
  </si>
  <si>
    <t>CA-F-D7</t>
  </si>
  <si>
    <t>Bonus opération du 15/01/2025 à Owando/Crepin</t>
  </si>
  <si>
    <t>CA-F-D8</t>
  </si>
  <si>
    <t>Bonus opération du 15/01/2025 à Owando/Romain</t>
  </si>
  <si>
    <t>CA-F-D9</t>
  </si>
  <si>
    <t>Bonus opération du 15/01/2025 à Owando/Abraham</t>
  </si>
  <si>
    <t>CA-F-D10</t>
  </si>
  <si>
    <t>Bonus opération du 15/01/2025 à Owando/Evariste</t>
  </si>
  <si>
    <t>CA-F-D11</t>
  </si>
  <si>
    <t>CA-F-R15</t>
  </si>
  <si>
    <t>Frais de mission maitre Alain BANZOUZI du 13 au 15 Février 2025 à Sibiti/suivi audience</t>
  </si>
  <si>
    <t>CA-F-R16</t>
  </si>
  <si>
    <t>CA-F-R17</t>
  </si>
  <si>
    <t>CA-F-R18</t>
  </si>
  <si>
    <t>Parfaite</t>
  </si>
  <si>
    <t>Bonus à un informateur en RDC</t>
  </si>
  <si>
    <t>Frais de transfert d'argent à T73,P29 et Abraham</t>
  </si>
  <si>
    <t>CA-F-R19</t>
  </si>
  <si>
    <t>Achat credit  teléphonique MTN/PALF/Deuxième partie du mois de Février 2025/Management</t>
  </si>
  <si>
    <t>CA-F-R20</t>
  </si>
  <si>
    <t>Achat credit  teléphonique MTN/PALF/Deuxième partie du mois de Février 2025/Legal</t>
  </si>
  <si>
    <t>CA-F-R21</t>
  </si>
  <si>
    <t>Achat credit  teléphonique MTN/PALF/Deuxième partie du mois de Février 2025/Investigation</t>
  </si>
  <si>
    <t>CA-F-R22</t>
  </si>
  <si>
    <t>Achat credit  teléphonique MTN/PALF/Deuxième partie du mois de Février 2025/Media</t>
  </si>
  <si>
    <t>CA-F-R23</t>
  </si>
  <si>
    <t>CA-F-R24</t>
  </si>
  <si>
    <t>Achat credit  teléphonique Airtel/PALF/Deuxième partie du mois de Février 2025/Legal</t>
  </si>
  <si>
    <t>CA-F-R25</t>
  </si>
  <si>
    <t>Achat credit téléphonique pour P29/Appel trust à l'international</t>
  </si>
  <si>
    <t>CA-F-R26</t>
  </si>
  <si>
    <t>Frais de transfert d'argent à Crepin</t>
  </si>
  <si>
    <t>CA-F-R27</t>
  </si>
  <si>
    <t>Frais de mission maitre BANZOUZI à Owando du 19 au 21/02/205 suivi audience cas MONICK</t>
  </si>
  <si>
    <t>CA-F-R28</t>
  </si>
  <si>
    <t>CA-F-R29</t>
  </si>
  <si>
    <t>Frais de transfert bonus à informateur</t>
  </si>
  <si>
    <t>CA-F-R30</t>
  </si>
  <si>
    <t>Frais de transfert d'argent à Abraham</t>
  </si>
  <si>
    <t>CA-F-R31</t>
  </si>
  <si>
    <t>CA-F-R32</t>
  </si>
  <si>
    <t>CA-F-R43</t>
  </si>
  <si>
    <t>CA-F-R33</t>
  </si>
  <si>
    <t>Achat credit téléphonique pour le coordinateur</t>
  </si>
  <si>
    <t>CA-F-R34</t>
  </si>
  <si>
    <t>CA-F-R44</t>
  </si>
  <si>
    <t>Frais de mission à Owando de maitre Alain du 27/02 au 04/03/2025</t>
  </si>
  <si>
    <t>CA-F-R35</t>
  </si>
  <si>
    <t>Reglement prestation de nettoyage jardin PALF du mois de Février 2025</t>
  </si>
  <si>
    <t>CA-F-R36</t>
  </si>
  <si>
    <t>Frais de transfert d'argent à IT87</t>
  </si>
  <si>
    <t>CA-F-R37</t>
  </si>
  <si>
    <t>Ramassage ordure du mois Février 2025/Bureau PALF</t>
  </si>
  <si>
    <t>CA-F-R38</t>
  </si>
  <si>
    <t>Frais de transfert d'argent à Romain</t>
  </si>
  <si>
    <t>CA-F-R45</t>
  </si>
  <si>
    <t>Reglement facture internet periode du 01/03 au 31/03/2025 bureau PALF</t>
  </si>
  <si>
    <t>Internet</t>
  </si>
  <si>
    <t>CA-F-R39</t>
  </si>
  <si>
    <t>Règlement prestation technicienne de surface (mois de Février 2025)</t>
  </si>
  <si>
    <t>CA-F-R40</t>
  </si>
  <si>
    <t>Achat fourniture de bureau/Classeurs,stylo,intercalaire,rame papier,surligneur,chemise cartonnée</t>
  </si>
  <si>
    <t>CA-F-R41</t>
  </si>
  <si>
    <t>Frais de carte de travail Parfaite</t>
  </si>
  <si>
    <t>CA-F-R42</t>
  </si>
  <si>
    <t>DH-F-R1</t>
  </si>
  <si>
    <t>Frais de transfert d'argent par western union à l'informateur</t>
  </si>
  <si>
    <t>DH-F-R2</t>
  </si>
  <si>
    <t>DH-F-R3</t>
  </si>
  <si>
    <t>DOVI -CONGO Ration du 15 Février 2025 au 25 Février 2025 soit 10 nuitées</t>
  </si>
  <si>
    <t>DH-F-D1</t>
  </si>
  <si>
    <t>Achat billet Owando -Brazzaville/DOVI</t>
  </si>
  <si>
    <t>DH-F-R4</t>
  </si>
  <si>
    <t>DOVI-CONGO Frais d'hôtel du 15 Février 2025 au 25 Février 2025 soit 10 nuitées à Owando(Hôtel Savouret)</t>
  </si>
  <si>
    <t>DH-F-R5</t>
  </si>
  <si>
    <t>Cumul frais de transport local du mois de Février 2025/DOVI</t>
  </si>
  <si>
    <t>DH-F-D2</t>
  </si>
  <si>
    <t>Cumul frais de transport local du mois de Février 2025/Merveille</t>
  </si>
  <si>
    <t>ME-F-D1</t>
  </si>
  <si>
    <t>COMPTA PARFAITE-Comptable</t>
  </si>
  <si>
    <t>Reçu caisse/Parfaite</t>
  </si>
  <si>
    <t>Cumul frais de transport local du mois de Février 2025/Parfaite</t>
  </si>
  <si>
    <t>P-F-D1</t>
  </si>
  <si>
    <t>P29-F-R1</t>
  </si>
  <si>
    <t>P29-F-D1</t>
  </si>
  <si>
    <t>P29-F-R2</t>
  </si>
  <si>
    <t>P29-F-R3</t>
  </si>
  <si>
    <t>P29-F-R4</t>
  </si>
  <si>
    <t>P29-F-R5</t>
  </si>
  <si>
    <t>Cumul frais de trust building du mois de Février 2025/P29</t>
  </si>
  <si>
    <t>P29-F-D2</t>
  </si>
  <si>
    <t>P29-F-R6</t>
  </si>
  <si>
    <t>P29-F-R7</t>
  </si>
  <si>
    <t>P29-F-R8</t>
  </si>
  <si>
    <t>P29-F-R9</t>
  </si>
  <si>
    <t>P29-F-R10</t>
  </si>
  <si>
    <t>P29-F-R11</t>
  </si>
  <si>
    <t>P29-F-R12</t>
  </si>
  <si>
    <t>P29-F-R13</t>
  </si>
  <si>
    <t>P29-F-R14</t>
  </si>
  <si>
    <t>P29-F-R15</t>
  </si>
  <si>
    <t>Cumul frais de transport local du mois de Février 2025/P29</t>
  </si>
  <si>
    <t>P29-F-D3</t>
  </si>
  <si>
    <t>T73-F-R1</t>
  </si>
  <si>
    <t>T73-F-D1</t>
  </si>
  <si>
    <t>T73-F-R2</t>
  </si>
  <si>
    <t>T73-F-R4</t>
  </si>
  <si>
    <t>T73-F-R5</t>
  </si>
  <si>
    <t>Cumul frais de trust building du mois de Février 2025/T73</t>
  </si>
  <si>
    <t>T73-F-D2</t>
  </si>
  <si>
    <t>T73-F-R6</t>
  </si>
  <si>
    <t>T73-F-R7</t>
  </si>
  <si>
    <t>Cumul frais de transport local du mois de Février 2025/T73</t>
  </si>
  <si>
    <t>T73-F-D3</t>
  </si>
  <si>
    <t>G12-F-R1</t>
  </si>
  <si>
    <t>G12-F-D1</t>
  </si>
  <si>
    <t>G12-F-R2</t>
  </si>
  <si>
    <t>G12-F-R3</t>
  </si>
  <si>
    <t>G12-F-R4</t>
  </si>
  <si>
    <t>G12-F-R5</t>
  </si>
  <si>
    <t>G12-F-R6</t>
  </si>
  <si>
    <t>G12-F-R7</t>
  </si>
  <si>
    <t>Cumul frais de trust building du mois de Février 2025/G12</t>
  </si>
  <si>
    <t>G12-F-D2</t>
  </si>
  <si>
    <t>G12-F-R8</t>
  </si>
  <si>
    <t>G12-F-R9</t>
  </si>
  <si>
    <t>Cumul frais de transport local du mois Février 2025/G12</t>
  </si>
  <si>
    <t>G12-F-D3</t>
  </si>
  <si>
    <t>Achat  Billet  Brazzaville-Owando/Romain</t>
  </si>
  <si>
    <t>RM-F-R1</t>
  </si>
  <si>
    <t>ROMAIN-CONGO: Ration du 05 au 07/02/2025 à Owando</t>
  </si>
  <si>
    <t>RM-F-D1</t>
  </si>
  <si>
    <t>Achat billet retour Owando-Brazzaville/Romain</t>
  </si>
  <si>
    <t>RM-F-R2</t>
  </si>
  <si>
    <t>ROMAIN - CONGO Frais d'hotel du 05 au 07/02/2025 à Owando(2 nuitées)</t>
  </si>
  <si>
    <t>RM-F-R3</t>
  </si>
  <si>
    <t>Achat Billet Brazzaville-Owando/Romain</t>
  </si>
  <si>
    <t>RM-F-R4</t>
  </si>
  <si>
    <t>RM-F-D2</t>
  </si>
  <si>
    <t>RM-F-R5</t>
  </si>
  <si>
    <t>Carburant BJ Opération</t>
  </si>
  <si>
    <t>RM-F-R6</t>
  </si>
  <si>
    <t>ROMAIN - CONGO - Frais d'hôtel du 15 au 25/02/2025 à Owando(10 Nuitées)</t>
  </si>
  <si>
    <t>RM-F-R8</t>
  </si>
  <si>
    <t>Impréssion de la procédure de la Gendarmerie</t>
  </si>
  <si>
    <t>RM-F-R7</t>
  </si>
  <si>
    <t>Cumul frais de transport local du mois de Février 2025/Romain</t>
  </si>
  <si>
    <t>RM-F-D3</t>
  </si>
  <si>
    <t>Achat billet Brazzaville- Loudima/Roderlin</t>
  </si>
  <si>
    <t>RO-F-R4</t>
  </si>
  <si>
    <t>RODERLIN-CONGO Ration du 13 au 15/02/2025 à Sibiti (02 nuitées)</t>
  </si>
  <si>
    <t>RO-F-D2</t>
  </si>
  <si>
    <t>Achat billet Loudima - Sibiti/Roderlin</t>
  </si>
  <si>
    <t>RO-F-R6</t>
  </si>
  <si>
    <t>Cumul frais de jail visits du mois de Février 2025/Roderlin</t>
  </si>
  <si>
    <t>RO-F-D3</t>
  </si>
  <si>
    <t>RODERLIN-CONGO frais d'hôtel du 13 au 15/02/2025 à Sibiti (02 nuitées)</t>
  </si>
  <si>
    <t>RO-F-R5</t>
  </si>
  <si>
    <t>Taxi: Sibiti-Loudima /Roderlin</t>
  </si>
  <si>
    <t>RO-F-R7</t>
  </si>
  <si>
    <t>Achat billet Loudima-Brazzaville /Roderlin</t>
  </si>
  <si>
    <t>RO-F-R8</t>
  </si>
  <si>
    <t>Cumul frais de transport local du mois de Février 2025/Roderlin</t>
  </si>
  <si>
    <t>RO-F-D4</t>
  </si>
  <si>
    <t xml:space="preserve"> Achat billet Brazzaville- Owando/Roderlin</t>
  </si>
  <si>
    <t>RO-F-R1</t>
  </si>
  <si>
    <t>RODERLIN-CONGO Ration du 05 au 07/02/2025 à Owando (02 nuitées)</t>
  </si>
  <si>
    <t>RO-F-D1</t>
  </si>
  <si>
    <t>Achat billet Owando- Brazzaville /Roderlin</t>
  </si>
  <si>
    <t>RO-F-R2</t>
  </si>
  <si>
    <t>RODERLIN-CONGO frais d'hôtel du 05 au 07/02/2025 à Owando (02 nuitées)</t>
  </si>
  <si>
    <t>RO-F-R3</t>
  </si>
  <si>
    <t>IT87-F-D1</t>
  </si>
  <si>
    <t>IT87-F-R1</t>
  </si>
  <si>
    <t>IT87-F-R2</t>
  </si>
  <si>
    <t>IT87-F-R3</t>
  </si>
  <si>
    <t>IT87-F-R4</t>
  </si>
  <si>
    <t>IT87-F-R5</t>
  </si>
  <si>
    <t>IT87-F-R6</t>
  </si>
  <si>
    <t>IT87-F-D2</t>
  </si>
  <si>
    <t>IT87-F-R7</t>
  </si>
  <si>
    <t>IT87-F-R8</t>
  </si>
  <si>
    <t>IT87-F-R9</t>
  </si>
  <si>
    <t>IT87-F-R10</t>
  </si>
  <si>
    <t>Achat billet Mouyondzi - Loutété/ IT87</t>
  </si>
  <si>
    <t>IT87-F-R11</t>
  </si>
  <si>
    <t>IT87-F-R12</t>
  </si>
  <si>
    <t>IT87-F-R13</t>
  </si>
  <si>
    <t>IT87-F-R14</t>
  </si>
  <si>
    <t>IT87-F-D3</t>
  </si>
  <si>
    <t>Cumul frais de Trust building du mois de Février 2025/IT87</t>
  </si>
  <si>
    <t>IT87-F-D4</t>
  </si>
  <si>
    <t>IT87-F-R15</t>
  </si>
  <si>
    <t>IT87-F-R16</t>
  </si>
  <si>
    <t>Cumul frais de Transport local du mois de Février 2025/IT87</t>
  </si>
  <si>
    <t>IT87-F-D5</t>
  </si>
  <si>
    <t>Cumul frais de transport local du mois de Février 2025/Abraham</t>
  </si>
  <si>
    <t>AB-F-D3</t>
  </si>
  <si>
    <t>CREPIN - CONGO Hébergement à l'hôtel Essebo d'Owando, 07 Nuitées du 15 au 22/02/2025</t>
  </si>
  <si>
    <t>Achat billet Brazzaville-Owando/DOVI</t>
  </si>
  <si>
    <t>Paiment assurance DOVI/Assistance Evacuation</t>
  </si>
  <si>
    <t>Achat credit  teléphonique Airtel/PALF/Deuxième partie du mois de Février 2025/Investigation</t>
  </si>
  <si>
    <t>Frais de transfert d'argent à P29 et IT87</t>
  </si>
  <si>
    <t>Fonds envoyé à un informateur en RDC pour des informations</t>
  </si>
  <si>
    <t>Fonds envoyé à un informateur  en RDC pour des informations</t>
  </si>
  <si>
    <t>Paiment assurance DOVI/Individuelle Accidents Corporels</t>
  </si>
  <si>
    <t>Frais de transfert charden farell à Abraham (pour le compte de DOVI et Crépin)</t>
  </si>
  <si>
    <t>Departement</t>
  </si>
  <si>
    <t>Achat credit  teléphonique MTN/PALF/Première partie du mois de Mars2025/Management</t>
  </si>
  <si>
    <t>Achat credit  teléphonique MTN/PALF/Première partie du mois de Mars 2025/Legal</t>
  </si>
  <si>
    <t>Achat credit  teléphonique MTN/PALF/Première partie du mois de Mars 2025/Investigation</t>
  </si>
  <si>
    <t>Achat credit  teléphonique MTN/PALF/Première partie du mois de Mars 2025/Media</t>
  </si>
  <si>
    <t>Achat credit  teléphonique Airtel/PALF/Première partie du mois de Mars 2025/Legal</t>
  </si>
  <si>
    <t>Achat credit  teléphonique Airtel/PALF/Première partie du mois de Mars 2025/Investigation</t>
  </si>
  <si>
    <t>Achat credit  teléphonique Airtel/PALF/Première partie du mois de Mars 2025/Media</t>
  </si>
  <si>
    <t>Achat 01 telephone Tecno POP 7/ 64GB et 4ROM pour Abraham</t>
  </si>
  <si>
    <t>Achat carburant 100 Litres de gazoil groupe electrogène Bureau</t>
  </si>
  <si>
    <t>Bonus operation du 24/02/2025 à Owando/Evariste</t>
  </si>
  <si>
    <t>Bonus operation du 24/02/2025 à Owando/Merveille</t>
  </si>
  <si>
    <t>Bonus du mois de Janvier 2025/Parfaite</t>
  </si>
  <si>
    <t>Bonus operation du 24/02/2025 à Owando/Abraham</t>
  </si>
  <si>
    <t>Bonus media portant sur l'interpellation de 2 Présumés trafiquants le 24/02/205 à Owando</t>
  </si>
  <si>
    <t>Paiement salaire des jours travaillés en février 2025/Parfaite</t>
  </si>
  <si>
    <t>Frais de transfert d'argent en RDC</t>
  </si>
  <si>
    <t>Frais de transfert d'argent à Romain et Crepin</t>
  </si>
  <si>
    <t>Complement frais de mission maitre Banzouzi du 04 au 08/03/3035 à Owando</t>
  </si>
  <si>
    <t>Frais de transport mission maitre Marie Helène à Owando du 05 au 07/03/2025 suivi audience cas EBI</t>
  </si>
  <si>
    <t>Ration et frais d'hotel mission maitre Marie Helène à Owando du 05 au 07/03/2025 suivi audience cas EBI</t>
  </si>
  <si>
    <t>Bonus operation du 24/02/2025 à Owando/Crepin</t>
  </si>
  <si>
    <t>Frais de transfert Bonus à un informateur en RDC</t>
  </si>
  <si>
    <t>Bonus du mois de Février 2025/Romain</t>
  </si>
  <si>
    <t>Bonus operation du 24/02/2025 à Owando/Romain</t>
  </si>
  <si>
    <t>Règlement facture électricité piode Janvier-Février2025/bureau PALF</t>
  </si>
  <si>
    <t>Achat de 14 pagnes africain pour la JIF(08Mars)/Bureau PALF</t>
  </si>
  <si>
    <t>Achat credit téléphonique MTN pour Donald Roméo periode du 12 au 31/03/2025</t>
  </si>
  <si>
    <t>Frais de transfert d'argent à P29 et G12</t>
  </si>
  <si>
    <t>Achat credit  teléphonique MTN/PALF/Deuxième partie du mois de Mars2025/Management</t>
  </si>
  <si>
    <t>Achat credit  teléphonique MTN/PALF/Deuxième partie du mois de Mars 2025/Legal</t>
  </si>
  <si>
    <t>Achat credit  teléphonique MTN/PALF/Deuxième partie du mois de Mars 2025/Investigation</t>
  </si>
  <si>
    <t>Achat credit  teléphonique MTN/PALF/deuxième partie du mois de Mars 2025/Media</t>
  </si>
  <si>
    <t>Achat credit  teléphonique Airtel/PALF/Deuxième partie du mois de Mars 2025/Legal</t>
  </si>
  <si>
    <t>Achat credit  teléphonique Airtel/PALF/Deuxième partie du mois de Mars 2025/Investigation</t>
  </si>
  <si>
    <t>Frais de transport mission à Owando de maitre Alain du 19au 21/03/2025 suivi audience à Owando</t>
  </si>
  <si>
    <t>Frais de transfert d'argent à Crepin, Evariste, Abraham, Romain et Donald-Romeo</t>
  </si>
  <si>
    <t>Achat 05 Cartouche d'encre  HP Laser noire et couleur 216A</t>
  </si>
  <si>
    <t>Achat produit d'entretien  et Main d'œuvre du groupe électrogène/Bureau PALF</t>
  </si>
  <si>
    <t>Frais de transfert d'argent  à crepin et IT87</t>
  </si>
  <si>
    <t>Frais de transfert d'argent à  T73 par  momo</t>
  </si>
  <si>
    <t xml:space="preserve">Ration et frais d'hotel mission à Dolisie de maitre BANZOUZI Alain du 25/03/ au 05/04/2025 suivi audience </t>
  </si>
  <si>
    <t>Achat carburant groupe electrogène Bureau</t>
  </si>
  <si>
    <t>Bonus media portant sur l'interpellation de 2 Présumés trafiquants le 22/03/205 à Dolisie</t>
  </si>
  <si>
    <t>ramassage Ordure du mois de Mars 2025/Bureau PALF</t>
  </si>
  <si>
    <t>Frais de transfert d'argent  à crepin et Donald-Roméo</t>
  </si>
  <si>
    <t>Reglement prestation de nettoyage Bureau PALF du mois de Mars 2025</t>
  </si>
  <si>
    <t>Reglement facture internet periode du 01/04 au 30/04/2025 bureau PALF</t>
  </si>
  <si>
    <t>Frais de transfert d'argent à Crepin, Me Alain et Donald-Romeo</t>
  </si>
  <si>
    <t>CA-M-R1</t>
  </si>
  <si>
    <t>CA-M-R2</t>
  </si>
  <si>
    <t>CA-M-R3</t>
  </si>
  <si>
    <t>CA-M-R4</t>
  </si>
  <si>
    <t>CA-M-R5</t>
  </si>
  <si>
    <t>CA-M-R6</t>
  </si>
  <si>
    <t>CA-M-R7</t>
  </si>
  <si>
    <t>CA-M-R8</t>
  </si>
  <si>
    <t>CA-M-R9</t>
  </si>
  <si>
    <t>CA-M-R10</t>
  </si>
  <si>
    <t>CA-M-R11</t>
  </si>
  <si>
    <t>CA-M-R12</t>
  </si>
  <si>
    <t>CA-M-R13</t>
  </si>
  <si>
    <t>CA-M-R14</t>
  </si>
  <si>
    <t>CA-M-R15</t>
  </si>
  <si>
    <t>CA-M-R16</t>
  </si>
  <si>
    <t>CA-M-R17</t>
  </si>
  <si>
    <t>CA-M-R18</t>
  </si>
  <si>
    <t>CA-M-R19</t>
  </si>
  <si>
    <t>CA-M-R20</t>
  </si>
  <si>
    <t>CA-M-R21</t>
  </si>
  <si>
    <t>CA-M-R22</t>
  </si>
  <si>
    <t>CA-M-R23</t>
  </si>
  <si>
    <t>CA-M-R24</t>
  </si>
  <si>
    <t>CA-M-R25</t>
  </si>
  <si>
    <t>CA-M-R26</t>
  </si>
  <si>
    <t>CA-M-R27</t>
  </si>
  <si>
    <t>CA-M-R28</t>
  </si>
  <si>
    <t>CA-M-R29</t>
  </si>
  <si>
    <t>CA-M-R30</t>
  </si>
  <si>
    <t>CA-M-R31</t>
  </si>
  <si>
    <t>CA-M-R32</t>
  </si>
  <si>
    <t>CA-M-R33</t>
  </si>
  <si>
    <t>CA-M-R34</t>
  </si>
  <si>
    <t>CA-M-R35</t>
  </si>
  <si>
    <t>CA-M-R36</t>
  </si>
  <si>
    <t>CA-M-R37</t>
  </si>
  <si>
    <t>CA-M-R38</t>
  </si>
  <si>
    <t>CA-M-R39</t>
  </si>
  <si>
    <t>CA-M-R40</t>
  </si>
  <si>
    <t>CA-M-R41</t>
  </si>
  <si>
    <t>CA-M-R42</t>
  </si>
  <si>
    <t>CA-M-R43</t>
  </si>
  <si>
    <t>CA-M-R44</t>
  </si>
  <si>
    <t>CA-M-R45</t>
  </si>
  <si>
    <t>CA-M-R46</t>
  </si>
  <si>
    <t>CA-M-R47</t>
  </si>
  <si>
    <t>CA-M-R48</t>
  </si>
  <si>
    <t>CA-M-R49</t>
  </si>
  <si>
    <t>CA-M-R50</t>
  </si>
  <si>
    <t>CA-M-R51</t>
  </si>
  <si>
    <t>CA-M-R52</t>
  </si>
  <si>
    <t>CA-M-R53</t>
  </si>
  <si>
    <t>CA-M-R54</t>
  </si>
  <si>
    <t>CA-M-R55</t>
  </si>
  <si>
    <t>CA-M-D1</t>
  </si>
  <si>
    <t>CA-M-D2</t>
  </si>
  <si>
    <t>CA-M-D3</t>
  </si>
  <si>
    <t>CA-M-D4</t>
  </si>
  <si>
    <t>CA-M-D5</t>
  </si>
  <si>
    <t>CA-M-D6</t>
  </si>
  <si>
    <t>CA-M-D7</t>
  </si>
  <si>
    <t>CA-M-D8</t>
  </si>
  <si>
    <t>CA-M-D9</t>
  </si>
  <si>
    <t>CA-M-D10</t>
  </si>
  <si>
    <t>CA-M-D11</t>
  </si>
  <si>
    <t>CA-M-D12</t>
  </si>
  <si>
    <t>CA-M-D13</t>
  </si>
  <si>
    <t>CA-M-D14</t>
  </si>
  <si>
    <t>CA-M-D15</t>
  </si>
  <si>
    <t>Paiement salaire du mois de Février 2025/FOUMBA Roderlin/3654808</t>
  </si>
  <si>
    <t>Paiement salaire du mois de Février 2025/BOUNGOU MAKOSSO Abraham</t>
  </si>
  <si>
    <t>Paiement salaire du mois de Février 2025/LOUNDOU JeanRomain/3654807</t>
  </si>
  <si>
    <t>Paiement salaire du mois de Février 2025/Crepin IBOUILI-IBOUILI</t>
  </si>
  <si>
    <t>Paiement salaire du mois de Février 2025/Merveille MAHANGA</t>
  </si>
  <si>
    <t>Paiement salaire du mois de Février 2025/Evariste LELOUSSI</t>
  </si>
  <si>
    <t>Reglement honoraire du mois de Février 2025/T73/3654813</t>
  </si>
  <si>
    <t>Reglement honoraire du mois de Février 2025/P29/3654814</t>
  </si>
  <si>
    <t>Reglement honoraire du mois de Février 2025/IT87/3654815</t>
  </si>
  <si>
    <t>Reglement honoraire du mois de Février 2025/G12/3654816</t>
  </si>
  <si>
    <t>Reglement Facture Gardiennage Mois de Février 2025/3654817</t>
  </si>
  <si>
    <t>Frais de virement salaire février 2025</t>
  </si>
  <si>
    <t>Acompte honoraire contrat N°64_Dolisie cas NZETSI BIMOKO et Consorts/Maitre Marie Hélène NANITELAMIO MALONGA</t>
  </si>
  <si>
    <t>RAPATRIEME01100 RAO00010768/CHENE</t>
  </si>
  <si>
    <t>RAPATRIEME01100 RAO00010768/OAT</t>
  </si>
  <si>
    <t>Paiement Honoraire Me LOCKO/Mois de Janvier 2025/3654793</t>
  </si>
  <si>
    <t>Paiement Honoraire Me LOCKO/Mois de Février 2025/3654820</t>
  </si>
  <si>
    <t>Paiement salaire du mois de Février 2025/Homéfa DOVI/3654812</t>
  </si>
  <si>
    <t>Virement fonds à CJ</t>
  </si>
  <si>
    <t>Frais de virement de fonds à CJ</t>
  </si>
  <si>
    <t>Paiement congé et jours travaillés en Mars 2025/Merveille MAHANGA</t>
  </si>
  <si>
    <t>Frais de virement salaire Mervielle Mars 2025</t>
  </si>
  <si>
    <t>Solde honoraire contrat N°81_Owando cas MONICK François/Maitre Marie Alain BAZOUNZI</t>
  </si>
  <si>
    <t>Acompte honoraire contrat N°82_Owando cas NGASSAKI Dany et ELOMBO Levy/Maitre Marie Alain BAZOUNZI</t>
  </si>
  <si>
    <t>Paiement salaire du mois de Mars 2025/Homéfa DOVI/3654835</t>
  </si>
  <si>
    <t>Paiement salaire du mois de Mars 2025/BAVOUMINA NZOUSSI Dina Parfaite/365831</t>
  </si>
  <si>
    <t>Paiement salaire du mois de Mars 2025/FOUMBA Roderlin/3654825</t>
  </si>
  <si>
    <t>Paiement salaire du mois de Mars 2025/BOUNGOU MAKOSSO Abraham/3654824</t>
  </si>
  <si>
    <t>Paiement salaire du mois de Mars 2025/LOUNDOU JeanRomain/3654832</t>
  </si>
  <si>
    <t>Paiement salaire du mois de Mars 2025/Crepin IBOUILI-IBOUILI</t>
  </si>
  <si>
    <t>Paiement salaire du mois de Mars 2025/Evariste LELOUSSI</t>
  </si>
  <si>
    <t>Paiement salaire du mois de Mars 2025/PINDI BINGA Donald- Roméo</t>
  </si>
  <si>
    <t>Frais de virement salaire du mois de Mars 2025</t>
  </si>
  <si>
    <t>Reglement honoraire du mois de Mars 2025/P29/3654837</t>
  </si>
  <si>
    <t>Reglement honoraire du mois de Mars 2025/G12/3654833</t>
  </si>
  <si>
    <t>Reglement honoraire du mois de Mars 2025/T73/3654829</t>
  </si>
  <si>
    <t>Reglement honoraire du mois de Mars 2025/IT87/3654827</t>
  </si>
  <si>
    <t>Reglement Facture Gardiennage Mois de Mars 2025/3654828</t>
  </si>
  <si>
    <t>BQ-M-G1</t>
  </si>
  <si>
    <t>BQ-M-G2</t>
  </si>
  <si>
    <t>BQ-M-G3</t>
  </si>
  <si>
    <t>BQ-M-R1</t>
  </si>
  <si>
    <t>BQ-M-R2</t>
  </si>
  <si>
    <t>BQ-M-R3</t>
  </si>
  <si>
    <t>BQ-M-R4</t>
  </si>
  <si>
    <t>BQ-M-R5</t>
  </si>
  <si>
    <t>BQ-M-R6</t>
  </si>
  <si>
    <t>BQ-M-R7</t>
  </si>
  <si>
    <t>BQ-M-R8</t>
  </si>
  <si>
    <t>BQ-M-R9</t>
  </si>
  <si>
    <t>BQ-M-R10</t>
  </si>
  <si>
    <t>BQ-M-R11</t>
  </si>
  <si>
    <t>BQ-M-R12</t>
  </si>
  <si>
    <t>BQ-M-R13</t>
  </si>
  <si>
    <t>BQ-M-R14</t>
  </si>
  <si>
    <t>BQ-M-R15</t>
  </si>
  <si>
    <t>BQ-M-R16</t>
  </si>
  <si>
    <t>BQ-M-R17</t>
  </si>
  <si>
    <t>BQ-M-R18</t>
  </si>
  <si>
    <t>BQ-M-R19</t>
  </si>
  <si>
    <t>BQ-M-R20</t>
  </si>
  <si>
    <t>BQ-M-R21</t>
  </si>
  <si>
    <t>BQ-M-R22</t>
  </si>
  <si>
    <t>BQ-M-R23</t>
  </si>
  <si>
    <t>BQ-M-R24</t>
  </si>
  <si>
    <t>BQ-M-R25</t>
  </si>
  <si>
    <t>BQ-M-R26</t>
  </si>
  <si>
    <t>BQ-M-R27</t>
  </si>
  <si>
    <t>BQ-M-R28</t>
  </si>
  <si>
    <t>BQ-M-R29</t>
  </si>
  <si>
    <t>DH-M-R2</t>
  </si>
  <si>
    <t>Fonds envoyés à un informateur</t>
  </si>
  <si>
    <t>DH-M-R3</t>
  </si>
  <si>
    <t>DH-M-R4</t>
  </si>
  <si>
    <t>Cumul frais de transport local du mois de Mars 2025/DOVI</t>
  </si>
  <si>
    <t>DH-M-D1</t>
  </si>
  <si>
    <t>Cumul frais de transport local du mois de Mars 2025/Merveille</t>
  </si>
  <si>
    <t>P-M-D1</t>
  </si>
  <si>
    <t>P29-M-R1</t>
  </si>
  <si>
    <t>P29-M-D1</t>
  </si>
  <si>
    <t>P29-M-R2</t>
  </si>
  <si>
    <t>Cumul frait de trust building du mois de Mars 2025/P29</t>
  </si>
  <si>
    <t>P29-M-D2</t>
  </si>
  <si>
    <t>P29-M-R3</t>
  </si>
  <si>
    <t>P29-M-R4</t>
  </si>
  <si>
    <t>P29-M-R5</t>
  </si>
  <si>
    <t>P29-M-R6</t>
  </si>
  <si>
    <t>P29-M-R7</t>
  </si>
  <si>
    <t>P29-M-R8</t>
  </si>
  <si>
    <t>P29-M-R9</t>
  </si>
  <si>
    <t>Cumul frait de transport du mois de Mars 2025/P29</t>
  </si>
  <si>
    <t>P29-M-D3</t>
  </si>
  <si>
    <t>versement</t>
  </si>
  <si>
    <t>payement frais d'inscription et mensuel pour la formation en anglais</t>
  </si>
  <si>
    <t>Team Building</t>
  </si>
  <si>
    <t>T73-M-R1</t>
  </si>
  <si>
    <t>T73-M-D1</t>
  </si>
  <si>
    <t>T73-M-R2</t>
  </si>
  <si>
    <t>T73-M-R3</t>
  </si>
  <si>
    <t>T73-M-R4</t>
  </si>
  <si>
    <t>T73-M-R5</t>
  </si>
  <si>
    <t>T73-M-R6</t>
  </si>
  <si>
    <t>T73-M-R7</t>
  </si>
  <si>
    <t>T73-M-R8</t>
  </si>
  <si>
    <t>T73-M-R9</t>
  </si>
  <si>
    <t>T73-M-R10</t>
  </si>
  <si>
    <t>Achat sim/T73</t>
  </si>
  <si>
    <t>T73-M-R11</t>
  </si>
  <si>
    <t>T73-M-D2</t>
  </si>
  <si>
    <t>T73-M-R12</t>
  </si>
  <si>
    <t>T73-M-R13</t>
  </si>
  <si>
    <t>T73-M-R14</t>
  </si>
  <si>
    <t>transport</t>
  </si>
  <si>
    <t>T73-M-R15</t>
  </si>
  <si>
    <t>T73-M-R16</t>
  </si>
  <si>
    <t>T73-M-R17</t>
  </si>
  <si>
    <t>T73-M-R18</t>
  </si>
  <si>
    <t>Cumul frais de trust building du mois de Mars 2025/T73</t>
  </si>
  <si>
    <t>T73-M-D3</t>
  </si>
  <si>
    <t>T73-M-R19</t>
  </si>
  <si>
    <t>T73-M-R20</t>
  </si>
  <si>
    <t>Cumul frais de transport local du mois de Mars 2025/T73</t>
  </si>
  <si>
    <t>T73-M-D4</t>
  </si>
  <si>
    <t>IT87-M-D1</t>
  </si>
  <si>
    <t>IT87-M-R1</t>
  </si>
  <si>
    <t>IT87-M-R2</t>
  </si>
  <si>
    <t>IT87-M-R3</t>
  </si>
  <si>
    <t>IT87-M-R4</t>
  </si>
  <si>
    <t>IT87-M-R5</t>
  </si>
  <si>
    <t>IT87-M-R6</t>
  </si>
  <si>
    <t>IT87-M-D2</t>
  </si>
  <si>
    <t>IT87-M-R7</t>
  </si>
  <si>
    <t>IT87-M-R8</t>
  </si>
  <si>
    <t>IT87-M-R9</t>
  </si>
  <si>
    <t>IT87-M-R10</t>
  </si>
  <si>
    <t>Cumul frais de trust building du mois de Mars 2025/IT87</t>
  </si>
  <si>
    <t>IT87-M-D3</t>
  </si>
  <si>
    <t>Cumul frais de transport local du mois de Mars 2025/IT87</t>
  </si>
  <si>
    <t>IT87-M-D4</t>
  </si>
  <si>
    <t>G12-M-R1</t>
  </si>
  <si>
    <t>G12-M-D1</t>
  </si>
  <si>
    <t>G12-M-D2</t>
  </si>
  <si>
    <t>G12-M-R2</t>
  </si>
  <si>
    <t>G12-M-R3</t>
  </si>
  <si>
    <t>G12-M-R4</t>
  </si>
  <si>
    <t>G12-M-R5</t>
  </si>
  <si>
    <t>Cumul transport local du mois de Mars 2025/G12</t>
  </si>
  <si>
    <t>G12-M-D3</t>
  </si>
  <si>
    <t>RM-M-D1</t>
  </si>
  <si>
    <t>RM-M-R1</t>
  </si>
  <si>
    <t>Achat Billet Brazzaville-Dolisie/Romain</t>
  </si>
  <si>
    <t>RM-M-R2</t>
  </si>
  <si>
    <t>ROMAIN-CONGO: Ration du 17 au 29 mars 2025 à Dolisie et Sibiti/ 12 Nuitées</t>
  </si>
  <si>
    <t>RM-M-D2</t>
  </si>
  <si>
    <t>RM-M-R3</t>
  </si>
  <si>
    <t>Achat du Billet Dolisie-Sibiti/Romain</t>
  </si>
  <si>
    <t>RM-M-R4</t>
  </si>
  <si>
    <t>Cumul frais de Jails visists du mois de Mars 2025/Romain</t>
  </si>
  <si>
    <t>RM-M-D3</t>
  </si>
  <si>
    <t>ROMAIN - CONGO Frais d'hotel du 17/03/ au 27/03/2025 à Dolisie (10 nuitées)</t>
  </si>
  <si>
    <t>RM-M-R5</t>
  </si>
  <si>
    <t>ROMAIN - CONGO Frais d'hotel du 27/03/ au 29/03/2025 à Sibiti(02 nuitées)</t>
  </si>
  <si>
    <t>RM-M-R6</t>
  </si>
  <si>
    <t>RM-M-R7</t>
  </si>
  <si>
    <t>Billet Nkayi-Brazzaville/Romain</t>
  </si>
  <si>
    <t>RM-M-R8</t>
  </si>
  <si>
    <t>RM-M-D4</t>
  </si>
  <si>
    <t>Achat billet Owando-Brazzaville(Trans bony)/Abraham</t>
  </si>
  <si>
    <t>AB-M-R1</t>
  </si>
  <si>
    <t>ABRAHAM - CONGO frais d'Hôtel (Hôtel Case Mbali) du 20/02/2025 au 01/03/2025 Owando (09Nuitées)</t>
  </si>
  <si>
    <t>AB-M-R2</t>
  </si>
  <si>
    <t>AB-M-R3</t>
  </si>
  <si>
    <t xml:space="preserve">ABRAHAM - CONGO Ration du 17/03/2025 au 26/03/2025 à Dolisie (09 Nuitées) </t>
  </si>
  <si>
    <t>AB-M-D1</t>
  </si>
  <si>
    <t>AB-M-R4</t>
  </si>
  <si>
    <t>Achat billet Dolisie-Brazzaville/Abraham</t>
  </si>
  <si>
    <t>AB-M-R5</t>
  </si>
  <si>
    <t>Cumul frais de Jails visits du mois de Mars 2025/Abraham</t>
  </si>
  <si>
    <t>AB-M-D2</t>
  </si>
  <si>
    <t>ABRAHAM - CONGO frais d'Hôtel (Hôtel La Gloire) du 17/03/2025 au 26/03/2025 Dolisie (09Nuitées)</t>
  </si>
  <si>
    <t>AB-M-R6</t>
  </si>
  <si>
    <t>Cumul frais de transport local du mois de Mars 2025/Abraham</t>
  </si>
  <si>
    <t>AB-M-D3</t>
  </si>
  <si>
    <t>Achat billet Brazzaville-Owando/Roderlin</t>
  </si>
  <si>
    <t>RO-M-R1</t>
  </si>
  <si>
    <t>RODERLIN-CONGO Ration du 19 au 22/03/2025 à Owando (03 nuitées)</t>
  </si>
  <si>
    <t>RO-M-D1</t>
  </si>
  <si>
    <t>RO-M-R2</t>
  </si>
  <si>
    <t>RODERLIN-CONGO frais d'hôtel du 19 au 22/03/2025 à Owando (03 nuitées)</t>
  </si>
  <si>
    <t>RO-M-R3</t>
  </si>
  <si>
    <t>RO-M-D2</t>
  </si>
  <si>
    <t>Achat billet Brazzaville-Dolisie/Donald-Roméo</t>
  </si>
  <si>
    <t>DR-M-R1</t>
  </si>
  <si>
    <t>Ration  du  17/03/ au 05/04/2025 à Dolisie</t>
  </si>
  <si>
    <t>DR-M-D1</t>
  </si>
  <si>
    <t>Achat carburant BJ OP</t>
  </si>
  <si>
    <t>DR-M-R2</t>
  </si>
  <si>
    <t>DR-M-R3</t>
  </si>
  <si>
    <t>Frais d'impression de la procédure de la gendarmerie</t>
  </si>
  <si>
    <t>DR-M-R4</t>
  </si>
  <si>
    <t>Cumul frais de Jails visits du mois de Mars 2025/Donald-Romeo</t>
  </si>
  <si>
    <t>DR-M-D2</t>
  </si>
  <si>
    <t>Cumul frais de transport local du mois de Mars 2025/Donald-Romeo</t>
  </si>
  <si>
    <t>DR-M-D3</t>
  </si>
  <si>
    <t>EV-M-R1</t>
  </si>
  <si>
    <t>EVARISTE - CONGO Ration du 17 au 26 mars 2025  à Dolisie/09 Nuitées</t>
  </si>
  <si>
    <t>EV-M-D1</t>
  </si>
  <si>
    <t>EV-M-R2</t>
  </si>
  <si>
    <t>EVARISTE - CONGO Frais de l'hôtel du 17 au 26 mars 2025 à Dolisie (09 Nuitées)</t>
  </si>
  <si>
    <t>EV-M-R3</t>
  </si>
  <si>
    <t>Achat Billet  Dolisie-Brazzaville/Evariste</t>
  </si>
  <si>
    <t>EV-M-R4</t>
  </si>
  <si>
    <t>EV-M-D2</t>
  </si>
  <si>
    <t xml:space="preserve">CREPIN - CONGO Hébergement à l'hôtel Case Mbali d'Owando, 05 Nuitées du 24/02/ au 01/03/2025 </t>
  </si>
  <si>
    <t>CREPIN - CONGO Ration du du 05 au 08/03/2025  03 Nuitées  à Owando(03 Nuitées)</t>
  </si>
  <si>
    <t>CR-M-D1</t>
  </si>
  <si>
    <t xml:space="preserve">CREPIN-IBOULI CONGO Hébergement à l'hôtel Case Mbali d'Owando, 07 Nuitées du  01 au 08/03/2025 </t>
  </si>
  <si>
    <t>Billet: Owando-Brazaville/Crepin</t>
  </si>
  <si>
    <t>Billet: Brazzaville-Dolisie/Crépin</t>
  </si>
  <si>
    <t>CREPIN - CONGO Ration  du 17/03/ au 05/04/2025 à Dolisie(19 Nuitées)</t>
  </si>
  <si>
    <t>CR-M-D2</t>
  </si>
  <si>
    <t>CREPIN - CONGO  Frais d'hôtel à Dolisie du 17 au 19/03/2025, 02 Nuitées</t>
  </si>
  <si>
    <t>Raffraichissement et plats pendant l'attente de l'opération</t>
  </si>
  <si>
    <t>Bonus de 18 gendarmes pour l'opération du 22/03/2025 à Dolisie</t>
  </si>
  <si>
    <t>Bonus de 02 EF pour l'opération du 22/03/2025 à Dolisie</t>
  </si>
  <si>
    <t>Bonus pour 12 Policiers ayant effectué le transferèment de Moussa Grâce de Mossendjo à Dolisie</t>
  </si>
  <si>
    <t>Ration pour 12 policiers moyennant 5000 par policier ayant effectué le transferèment de Mossendjo à Dolisie</t>
  </si>
  <si>
    <t>Carburant aller de la BJ Mossendjo-Dolisie pour le transferèment</t>
  </si>
  <si>
    <t>Carburant retour de la BJ Dolisie-Mossendjo apès le transferèment</t>
  </si>
  <si>
    <t>Cumul frais de transport local du mois de Mars 2025/CREPIN</t>
  </si>
  <si>
    <t>M-M-D1</t>
  </si>
  <si>
    <t>BQ-M-R30</t>
  </si>
  <si>
    <t>BQ-M-R32</t>
  </si>
  <si>
    <t>BQ-M-R33</t>
  </si>
  <si>
    <t>BQ-M-R34</t>
  </si>
  <si>
    <t>BQ-M-R35</t>
  </si>
  <si>
    <t>BQ-M-R36</t>
  </si>
  <si>
    <t>UE</t>
  </si>
  <si>
    <t>OAT</t>
  </si>
  <si>
    <t>CR-M-R1</t>
  </si>
  <si>
    <t>CR-M-R2</t>
  </si>
  <si>
    <t>CR-M-R3</t>
  </si>
  <si>
    <t>CR-M-R4</t>
  </si>
  <si>
    <t>CR-M-R5</t>
  </si>
  <si>
    <t>CR-M-R6</t>
  </si>
  <si>
    <t>CR-M-R7</t>
  </si>
  <si>
    <t>CR-M-R8</t>
  </si>
  <si>
    <t>CR-M-R9</t>
  </si>
  <si>
    <t>CR-M-R10</t>
  </si>
  <si>
    <t>CR-M-R11</t>
  </si>
  <si>
    <t>CR-M-R12</t>
  </si>
  <si>
    <t>CR-M-D3</t>
  </si>
  <si>
    <t>Achat eau mineral 16 Litres/Bureau</t>
  </si>
  <si>
    <t>Reparation de court -circuit électrique du bureau</t>
  </si>
  <si>
    <t xml:space="preserve">Achat 10 ampoules pour le bureau </t>
  </si>
  <si>
    <t xml:space="preserve">Bonus à un informateur en RDC </t>
  </si>
  <si>
    <t xml:space="preserve">ROMAIN-CONGO Ration du 04 au 08/03/2025 à Owando (04 Nuitées) </t>
  </si>
  <si>
    <t>ROMAIN - CONGO Frais d'hotel du 25/02/au 08/03/2025 à Owando</t>
  </si>
  <si>
    <t>Billet Brazzaville-Dolisie/Abraham</t>
  </si>
  <si>
    <t xml:space="preserve">Achat billet Brazzaville-Dolisie/Evariste </t>
  </si>
  <si>
    <t xml:space="preserve">Frais de transport mission maitre Marie Helène à Owando du 19 au 22/03/2025 suivi audience cas EBI </t>
  </si>
  <si>
    <t xml:space="preserve">Ration et Frais d'hôtel  mission maitre Marie Helène à Owando du 19 au 22/03/2025 suivi audience cas EBI </t>
  </si>
  <si>
    <t>Frais de transport mission à Dolisie de maitre BANZOUZI Alain du 25/03/ au 05/04/2025 suivi audience</t>
  </si>
  <si>
    <t xml:space="preserve">Cumul frais de transport local du mois de Mars  2025 /Evariste </t>
  </si>
  <si>
    <t xml:space="preserve">Billet SIBITI- Nkayi/Romain </t>
  </si>
  <si>
    <t>Cumul frais de transfert local du mois de Mars 2025/Parfaite</t>
  </si>
  <si>
    <t xml:space="preserve">Cumul frais de transport local du mois de Mars 2025/Roderlin </t>
  </si>
  <si>
    <t xml:space="preserve">Cumul trust building du mois de Mars 2025/G12 </t>
  </si>
  <si>
    <t xml:space="preserve">Achat produit d'entretien lait,sucre,javel,papier toilette,sucre,café/Bureau PALF </t>
  </si>
  <si>
    <t>Office Materials</t>
  </si>
  <si>
    <t>Règlement loyer du mois d'Avril 2025/DOVI/Coordinateur PALF</t>
  </si>
  <si>
    <t>DH-A-R1</t>
  </si>
  <si>
    <t>Cumul frais de transport local du mois d'Avril 2025/DOVI</t>
  </si>
  <si>
    <t>DH-A-D1</t>
  </si>
  <si>
    <t>CREPIN -CONGO Fais l'hôtel du 22/03/ au 05/04/2025 à Dolisie (14 nuitées)</t>
  </si>
  <si>
    <t>CR-A-R1</t>
  </si>
  <si>
    <t>Achat billet Dolisie-Brazzaville/Crépin</t>
  </si>
  <si>
    <t>CR-A-R2</t>
  </si>
  <si>
    <t>Achat billet Brazzaville-Madingou/Crépin</t>
  </si>
  <si>
    <t>CR-A-R3</t>
  </si>
  <si>
    <t>CREPIN-CONGO Ration du 11 au 18/04/2025 à Madingou</t>
  </si>
  <si>
    <t>CR-A-D1</t>
  </si>
  <si>
    <t>CREPIN-CONGO Frais l'hôtel  du 11 au 13/04/2025 à Madingou(02 Nuitées)</t>
  </si>
  <si>
    <t>CR-A-R4</t>
  </si>
  <si>
    <t>Achat billet Madingou-Brazzaville/Crepin</t>
  </si>
  <si>
    <t>CR-A-R5</t>
  </si>
  <si>
    <t>CR-A-D2</t>
  </si>
  <si>
    <t>Cumul frais de transport local du mois d'Avril 2025/Crépin</t>
  </si>
  <si>
    <t>CA-A-R10</t>
  </si>
  <si>
    <t>CA-A-R33</t>
  </si>
  <si>
    <t>CA-A-R39</t>
  </si>
  <si>
    <t>Frais de nettoyage caniveau bureau PALF</t>
  </si>
  <si>
    <t>CA-A-D15</t>
  </si>
  <si>
    <t>Achat credit  teléphonique MTN/PALF/Première partie du mois d'Avril 2025/Management</t>
  </si>
  <si>
    <t>CA-A-R3</t>
  </si>
  <si>
    <t>Achat credit  teléphonique MTN/PALF/Première partie du mois d'Avril 2025/Legal</t>
  </si>
  <si>
    <t>CA-A-R4</t>
  </si>
  <si>
    <t>Achat credit  teléphonique MTN/PALF/Première partie du mois d'Avril 2025/Investigation</t>
  </si>
  <si>
    <t>CA-A-R5</t>
  </si>
  <si>
    <t>Achat credit  teléphonique MTN/PALF/Première partie du mois d'Avril 2025/Media</t>
  </si>
  <si>
    <t>CA-A-R6</t>
  </si>
  <si>
    <t>Achat credit  teléphonique Airtel/PALF/Première partie du mois d'Avril 2025/Legal</t>
  </si>
  <si>
    <t>CA-A-R7</t>
  </si>
  <si>
    <t>Achat credit  teléphonique Airtel/PALF/Première partie du mois d'Avril 2025/Investigation</t>
  </si>
  <si>
    <t>CA-A-R8</t>
  </si>
  <si>
    <t>Achat credit  teléphonique Airtel/PALF/Première partie du mois d'Avril 2025/Media</t>
  </si>
  <si>
    <t>CA-A-R9</t>
  </si>
  <si>
    <t>Bonus du mois de Mars 2025/Crepin</t>
  </si>
  <si>
    <t>CA-A-D2</t>
  </si>
  <si>
    <t>Bonus operation du 22/03/2025 à Dolisie/Crepin</t>
  </si>
  <si>
    <t>CA-A-D3</t>
  </si>
  <si>
    <t>Bonus du mois de Mars 2025/Parfaite</t>
  </si>
  <si>
    <t>CA-A-D4</t>
  </si>
  <si>
    <t>Bonus du mois de Mars 2025/Romain</t>
  </si>
  <si>
    <t>CA-A-D5</t>
  </si>
  <si>
    <t>Bonus du mois de Mars 2025/Donal-Roméo</t>
  </si>
  <si>
    <t>CA-A-D6</t>
  </si>
  <si>
    <t>Bonus du mois de Mars 2025/Abraham</t>
  </si>
  <si>
    <t>CA-A-D7</t>
  </si>
  <si>
    <t>Bonus du mois de Mars 2025/Roderlin</t>
  </si>
  <si>
    <t>CA-A-D8</t>
  </si>
  <si>
    <t>Bonus du mois de Mars 2025/Evariste</t>
  </si>
  <si>
    <t>CA-A-D9</t>
  </si>
  <si>
    <t>Bonus opération du 22/03/2025 à Dolisie/Donald-Roméo</t>
  </si>
  <si>
    <t>CA-A-D10</t>
  </si>
  <si>
    <t>Bonus opération du 22/03/2025 à Dolisie/Romain</t>
  </si>
  <si>
    <t>CA-A-D11</t>
  </si>
  <si>
    <t>Bonus opération du 22/03/2025 à Dolisie/Abraham</t>
  </si>
  <si>
    <t>CA-A-D12</t>
  </si>
  <si>
    <t>Bonus opération du 22/03/2025 à Dolisie/Evariste</t>
  </si>
  <si>
    <t>CA-A-D13</t>
  </si>
  <si>
    <t>Bonus du mois de Mars 2025/Merveille</t>
  </si>
  <si>
    <t>CA-A-D14</t>
  </si>
  <si>
    <t>CA-A-R18</t>
  </si>
  <si>
    <t>Règlement facture d'eau du mois de Janv, Fév, Mars, Avril  2025 bureau PALF</t>
  </si>
  <si>
    <t>CA-A-R24</t>
  </si>
  <si>
    <t>CA-A-R25</t>
  </si>
  <si>
    <t>Achat credit  teléphonique MTN/PALF/Deuxième partie du mois d'Avril2025/Management</t>
  </si>
  <si>
    <t>CA-A-R26</t>
  </si>
  <si>
    <t>Achat credit  teléphonique MTN/PALF/Deuxième partie du mois d'Avril 2025/Legal</t>
  </si>
  <si>
    <t>CA-A-R27</t>
  </si>
  <si>
    <t>Achat credit  teléphonique MTN/PALF/Deuxième partie du mois d'Avril 2025/Investigation</t>
  </si>
  <si>
    <t>CA-A-R28</t>
  </si>
  <si>
    <t>Achat credit  teléphonique MTN/PALF/deuxième partie du mois d'Avril 2025/Media</t>
  </si>
  <si>
    <t>CA-A-R29</t>
  </si>
  <si>
    <t>Achat credit  teléphonique Airtel/PALF/Deuxième partie du mois d'Avril 2025/Legal</t>
  </si>
  <si>
    <t>CA-A-R30</t>
  </si>
  <si>
    <t>Achat credit  teléphonique Airtel/PALF/Deuxième partie du mois d'Avril 2025/Investigation</t>
  </si>
  <si>
    <t>CA-A-R31</t>
  </si>
  <si>
    <t>Frais de carte de travail Donald-roméo</t>
  </si>
  <si>
    <t>CA-A-R36</t>
  </si>
  <si>
    <t xml:space="preserve"> frais de ramassage Ordure Avril 2025</t>
  </si>
  <si>
    <t>CA-A-R38</t>
  </si>
  <si>
    <t xml:space="preserve"> Frais de prestation de nettoyage jardin PALF Avril 2025</t>
  </si>
  <si>
    <t>CA-A-R45</t>
  </si>
  <si>
    <t>CA-A-R46</t>
  </si>
  <si>
    <t>Cumul frais de transport local du mois d'Avril 2025/ Parfaite</t>
  </si>
  <si>
    <t>P-A-D1</t>
  </si>
  <si>
    <t>Reglement facture internet periode du 01/05 au 31/05/2025 bureau PALF</t>
  </si>
  <si>
    <t>CA-A-R48</t>
  </si>
  <si>
    <t>Team building à l'occassion du 1er Mai 2025</t>
  </si>
  <si>
    <t>CA-A-R49</t>
  </si>
  <si>
    <t>T73-A-R1</t>
  </si>
  <si>
    <t>T73-A-R2</t>
  </si>
  <si>
    <t>T73-A-D1</t>
  </si>
  <si>
    <t>T73-A-R3</t>
  </si>
  <si>
    <t>T73-A-R4</t>
  </si>
  <si>
    <t>T73-A-R5</t>
  </si>
  <si>
    <t>T73-A-R6</t>
  </si>
  <si>
    <t>T73-A-R7</t>
  </si>
  <si>
    <t>T73-A-R8</t>
  </si>
  <si>
    <t>Cumul frais de trust building du mois d'Avril 2025/T73</t>
  </si>
  <si>
    <t>T73-A-D2</t>
  </si>
  <si>
    <t>Cumul frais de transport local du mois d'Avril 2025/T73</t>
  </si>
  <si>
    <t>T73-A-D3</t>
  </si>
  <si>
    <t>IT87-A-R1</t>
  </si>
  <si>
    <t>IT87-A-D1</t>
  </si>
  <si>
    <t>Cumul frais de trust building du mois d'Avril 2025/IT87</t>
  </si>
  <si>
    <t>IT87-A-D2</t>
  </si>
  <si>
    <t>IT87-A-R2</t>
  </si>
  <si>
    <t>IT87-A-R3</t>
  </si>
  <si>
    <t>Cumul frais de transport local du mois d'Avril 2025/IT87</t>
  </si>
  <si>
    <t>IT87-A-D3</t>
  </si>
  <si>
    <t>Paiement  frais d'inscription et mensuel de la formation en informatique</t>
  </si>
  <si>
    <t>G12-A-R1</t>
  </si>
  <si>
    <t>G12-A-R2</t>
  </si>
  <si>
    <t>G12-A-D1</t>
  </si>
  <si>
    <t>G12-A-R3</t>
  </si>
  <si>
    <t>G12-A-R4</t>
  </si>
  <si>
    <t>G12-A-R5</t>
  </si>
  <si>
    <t>G12-A-R6</t>
  </si>
  <si>
    <t>G12-A-R7</t>
  </si>
  <si>
    <t>G12-A-R8</t>
  </si>
  <si>
    <t>G12-A-R9</t>
  </si>
  <si>
    <t>G12-A-R10</t>
  </si>
  <si>
    <t>Frais de transfert d'argent à crépin, Evarste,  romain, roderlin et donald-roméo</t>
  </si>
  <si>
    <t>CA-A-R32</t>
  </si>
  <si>
    <t>Cumul frais de trust building du mois d'Avril 2025/G12</t>
  </si>
  <si>
    <t>G12-A-D2</t>
  </si>
  <si>
    <t>Cumul frais de transport local du mois d'Avril 2025/G12</t>
  </si>
  <si>
    <t>G12-A-D3</t>
  </si>
  <si>
    <t>Achat billet Brazzaville-Pointe Noire/Romain</t>
  </si>
  <si>
    <t>RM-A-R1</t>
  </si>
  <si>
    <t>RM-A-D1</t>
  </si>
  <si>
    <t>Cumul frais de jail visit du mois d'Avril 2025/Romain</t>
  </si>
  <si>
    <t>RM-A-D2</t>
  </si>
  <si>
    <t>Achat  billet Pointe Noire-Madingou/Romain</t>
  </si>
  <si>
    <t>RM-A-R2</t>
  </si>
  <si>
    <t>RM-A-R3</t>
  </si>
  <si>
    <t>Achat billet Madingou-Brazzaville/Romain</t>
  </si>
  <si>
    <t>RM-A-R4</t>
  </si>
  <si>
    <t>RM-A-R5</t>
  </si>
  <si>
    <t>Cumul frais de transport local du mois d'Avril 2025/Romain</t>
  </si>
  <si>
    <t>RM-A-D3</t>
  </si>
  <si>
    <t>Achat billet Brazzaville-Owando/Abraham</t>
  </si>
  <si>
    <t>AB-A-R1</t>
  </si>
  <si>
    <t xml:space="preserve">ABRAHAM - CONGO Ration du 16 au 18/04/2025 à Owando (02 Nuitées) </t>
  </si>
  <si>
    <t>AB-A-D1</t>
  </si>
  <si>
    <t>Achat billet Owando-Brazzaville/Abraham</t>
  </si>
  <si>
    <t>AB-A-R2</t>
  </si>
  <si>
    <t>ABRAHAM - CONGO Frais d'Hôtel du 16 au 17/04/2025 à Owando (02 Nuitées)</t>
  </si>
  <si>
    <t>AB-A-R3</t>
  </si>
  <si>
    <t>Cumul frais de transport local du mois d'Avril 2025/Abraham</t>
  </si>
  <si>
    <t>AB-A-D2</t>
  </si>
  <si>
    <t>CA-A-R13</t>
  </si>
  <si>
    <t>Frais de transport mission Maitre Alain à Sibiti du 10 au 12/04/2025</t>
  </si>
  <si>
    <t>CA-A-R14</t>
  </si>
  <si>
    <t>CA-A-R15</t>
  </si>
  <si>
    <t>Frais de transfert d'argent à Romain, Donald, Roderlin,  P29 et IT87</t>
  </si>
  <si>
    <t>CA-A-R17</t>
  </si>
  <si>
    <t>Frais de transfert d'argent à Crépin, Evarste,  P29 et IT87</t>
  </si>
  <si>
    <t>CA-A-R19</t>
  </si>
  <si>
    <t>Frais de transport mission Maitre Alain à Owando du 16 au 18/04/2025</t>
  </si>
  <si>
    <t>CA-A-R20</t>
  </si>
  <si>
    <t>Ration et frais d'hotel mission maitre Alain à Owando du 16 au 18/04/2025</t>
  </si>
  <si>
    <t>CA-A-R21</t>
  </si>
  <si>
    <t>Frais de transport mission Maitre Hélene à Owando du 16 au 18/04/2025</t>
  </si>
  <si>
    <t>CA-A-R22</t>
  </si>
  <si>
    <t>Ration et frais d'hotel mission maitre Hélene à Owando du 16 au 18/04/2025</t>
  </si>
  <si>
    <t>CA-A-R23</t>
  </si>
  <si>
    <t>CA-A-R35</t>
  </si>
  <si>
    <t>Achat billet Brazzaville-Owando/ Roderlin</t>
  </si>
  <si>
    <t>RO-A-R1</t>
  </si>
  <si>
    <t>Frais de transport mission Maitre Hélene à Owando du 02 au 04/04/2025</t>
  </si>
  <si>
    <t>CA-A-R1</t>
  </si>
  <si>
    <t>Ration et frais d'hotel mission maitre Hélene à Owando du 02au 04/04/2025</t>
  </si>
  <si>
    <t>CA-A-R2</t>
  </si>
  <si>
    <t>RO-A-D1</t>
  </si>
  <si>
    <t>Achat billet Owando- Brazzaville / Roderlin</t>
  </si>
  <si>
    <t>RO-A-R2</t>
  </si>
  <si>
    <t>RO-A-R3</t>
  </si>
  <si>
    <t>CA-A-R11</t>
  </si>
  <si>
    <t>CA-A-R12</t>
  </si>
  <si>
    <t>Achat billet Brazzaville-Loudima / Roderlin</t>
  </si>
  <si>
    <t>RO-A-R4</t>
  </si>
  <si>
    <t>Achat billet Loudima-Sibiti/ Roderlin</t>
  </si>
  <si>
    <t>RO-A-R5</t>
  </si>
  <si>
    <t>RO-A-D2</t>
  </si>
  <si>
    <t>Cumul frais de jail visit du mois d'Avril 2025/Roderlin</t>
  </si>
  <si>
    <t>RO-A-D3</t>
  </si>
  <si>
    <t>RO-A-R6</t>
  </si>
  <si>
    <t>Achat billet Sibiti-Nkayi/ Roderlin</t>
  </si>
  <si>
    <t>RO-A-R7</t>
  </si>
  <si>
    <t>Achat billet Nkayi-Madingou/Roderlin</t>
  </si>
  <si>
    <t>RO-A-R8</t>
  </si>
  <si>
    <t>Achat billet Madingou-Brazzaville/ Roderlin</t>
  </si>
  <si>
    <t>RO-A-R9</t>
  </si>
  <si>
    <t>RO-A-R10</t>
  </si>
  <si>
    <t>CA-A-R34</t>
  </si>
  <si>
    <t>Frais de transport mission Maitre Alain à Owando du 28 au 30/04/2025</t>
  </si>
  <si>
    <t>CA-A-R40</t>
  </si>
  <si>
    <t>Ration et frais d'hotel mission maitre Alain à Owando du 28 au 30/04/2025</t>
  </si>
  <si>
    <t>CA-A-R41</t>
  </si>
  <si>
    <t>Frais de transport mission Maitre Hélene à Owando du 28 au 30/04/2025</t>
  </si>
  <si>
    <t>CA-A-R42</t>
  </si>
  <si>
    <t>Ration et frais d'hotel mission maitre Hélene à Owando du 28 au 30/04/2025</t>
  </si>
  <si>
    <t>CA-A-R43</t>
  </si>
  <si>
    <t>CA-A-R44</t>
  </si>
  <si>
    <t>RO-A-R11</t>
  </si>
  <si>
    <t>RO-A-D4</t>
  </si>
  <si>
    <t>Court fees</t>
  </si>
  <si>
    <t>RO-A-R12</t>
  </si>
  <si>
    <t>RO-A-R13</t>
  </si>
  <si>
    <t>RO-A-R14</t>
  </si>
  <si>
    <t>Cumul frais de transport local du mois d'Avril 2025/Roderlin</t>
  </si>
  <si>
    <t>RO-A-D5</t>
  </si>
  <si>
    <t>Achat billet Dolisie-Brazzaville/ Donald-Roméo</t>
  </si>
  <si>
    <t>DR-A-R1</t>
  </si>
  <si>
    <t>DONALD ROMEO- CONGO Frais d'hôtel  du 17/03/ au 05/04/2025 à Dolisie (19 Nuitées)</t>
  </si>
  <si>
    <t>DR-A-R2</t>
  </si>
  <si>
    <t>Achat billet Brazzaville- Pointe Noire/ Donald-Roméo</t>
  </si>
  <si>
    <t>DR-A-R3</t>
  </si>
  <si>
    <t>DONALD ROMEO-CONGO Ration  du  09 au 18/04/2025 à Pointe-Noire et Madingou</t>
  </si>
  <si>
    <t>DR-A-D1</t>
  </si>
  <si>
    <t>Achat billet Pointe Noire- Madingou/ Donald-Roméo</t>
  </si>
  <si>
    <t>DR-A-R4</t>
  </si>
  <si>
    <t>DONALD ROMEO-CONGO Frais d'hôtel du 09 au 11/04/2025 à Pointe-Noire (02 Nuitées)</t>
  </si>
  <si>
    <t>DR-A-R5</t>
  </si>
  <si>
    <t>Achat billet Madingou-Brazzaville/ Donald-Roméo</t>
  </si>
  <si>
    <t>DR-A-R6</t>
  </si>
  <si>
    <t>DONALD ROMEO- CONGO Frais d'hôtel du  11 au 18/04/2025 à Madingou (07 Nuitées)</t>
  </si>
  <si>
    <t>DR-A-R7</t>
  </si>
  <si>
    <t>Achat billet Brazzaville-Owando/ Donald-Roméo</t>
  </si>
  <si>
    <t>DR-A-R8</t>
  </si>
  <si>
    <t>DONALD ROMEO- CONGO Ration  du  28 au 30/04/2025 à Owando</t>
  </si>
  <si>
    <t>DR-A-D2</t>
  </si>
  <si>
    <t>Achat billet Owando-Brazzaville/ Donald-Roméo</t>
  </si>
  <si>
    <t>DR-A-R9</t>
  </si>
  <si>
    <t>DONALD ROMEO- CONGO Frais d'hôtel du  28 au 30/04/2025 à Owando (02 Nuitées)</t>
  </si>
  <si>
    <t>DR-A-R10</t>
  </si>
  <si>
    <t>Cumul frais de transport local du mois d'Avril 2025/ Donald-Romeo</t>
  </si>
  <si>
    <t>DR-A-D3</t>
  </si>
  <si>
    <t>Achat billet Brazzaville-Madingou/Evariste</t>
  </si>
  <si>
    <t>EV-A-R1</t>
  </si>
  <si>
    <t>EV-A-D1</t>
  </si>
  <si>
    <t>Achat Billet Madingou-Brazzaville/Evariste</t>
  </si>
  <si>
    <t>EV-A-R2</t>
  </si>
  <si>
    <t>EV-A-R3</t>
  </si>
  <si>
    <t>Cumul frais de transport local du mois d'Avril 2025/Evariste</t>
  </si>
  <si>
    <t>EV-A-D2</t>
  </si>
  <si>
    <t>Bonus media portant sur l'interpellation de 2 Présumés trafiquants le 04/04/205 à Dolisie</t>
  </si>
  <si>
    <t>CA-A-D1</t>
  </si>
  <si>
    <t>CA-A-R16</t>
  </si>
  <si>
    <t>CA-A-R37</t>
  </si>
  <si>
    <t xml:space="preserve">Bonus media portant sur l'annonce de l'audience du 29 Avril 2025 au tribunal de gande instance d'Owado </t>
  </si>
  <si>
    <t>CA-A-D16</t>
  </si>
  <si>
    <t>Frais de l'avis de recrutement  investigateurs dans le depeches de Brazzaville</t>
  </si>
  <si>
    <t>CA-A-R47</t>
  </si>
  <si>
    <t>Reason for Difference: Transfert charden farell</t>
  </si>
  <si>
    <t>Paiement Honoraire Me LOCKO/Mois de Mars 2025/3654840</t>
  </si>
  <si>
    <t>Acompte honoraire contrat n°83 Dolisie cas NDOHO et NGOMA/ Maître BANZOUZI Alain/3654850</t>
  </si>
  <si>
    <t>Paiement CNSS premier trimestre/Janvier,Février et Mars 2025/Crepin /3654848</t>
  </si>
  <si>
    <t>Paiement CNSS premier trimestre/Janvier,Février et Mars 2025/Donald-Roméo/3654848</t>
  </si>
  <si>
    <t>Paiement CNSS premier trimestre/Janvier,Février et Mars 2025/Romain/3654848</t>
  </si>
  <si>
    <t>Paiement CNSS premier trimestre/Janvier,Février et Mars 2025/Roderlin/3654848</t>
  </si>
  <si>
    <t>Paiement CNSS premier trimestre/Janvier,Février et Mars 2025/Abraham/3654848</t>
  </si>
  <si>
    <t>Paiement CNSS premier trimestre/Janvier,Février et Mars 2025/Parfaite/3654848</t>
  </si>
  <si>
    <t>Paiement CNSS premier trimestre/Janvier,Février et Mars 2025/Merveille/3654848</t>
  </si>
  <si>
    <t>Paiement CNSS premier trimestre/Janvier,Février et Mars 2025/Evariste/3654848</t>
  </si>
  <si>
    <t>Reglement honoraire du mois d'Avril 2025/IT87/3654843</t>
  </si>
  <si>
    <t>Paiement salaire du mois d'Avril 2025/Crepin IBOUILI-IBOUILI</t>
  </si>
  <si>
    <t>Paiement salaire du mois d'Avril 2025/Evariste LELOUSSI/3654857</t>
  </si>
  <si>
    <t>Paiement salaire du mois d'Avril 2025/PINDI BINGA Donald- Roméo</t>
  </si>
  <si>
    <t>Reglement loyer du mois d'Avril 2025/3654847</t>
  </si>
  <si>
    <t>Reglement honoraire du mois de d'Avril 2025/P29/3654846</t>
  </si>
  <si>
    <t>Reglement honoraire du mois d'Avril 2025/G12/3654859</t>
  </si>
  <si>
    <t>Reglement honoraire du mois d'Avril 2025/T73/365482960</t>
  </si>
  <si>
    <t>RAPATRIEME01100NRAO00010782</t>
  </si>
  <si>
    <t>BQ-A-R1</t>
  </si>
  <si>
    <t>BQ-A-R2</t>
  </si>
  <si>
    <t>BQ-A-R3</t>
  </si>
  <si>
    <t>BQ-A-R4</t>
  </si>
  <si>
    <t>BQ-A-R5</t>
  </si>
  <si>
    <t>BQ-A-R6</t>
  </si>
  <si>
    <t>BQ-A-R7</t>
  </si>
  <si>
    <t>BQ-A-R8</t>
  </si>
  <si>
    <t>BQ-A-R9</t>
  </si>
  <si>
    <t>BQ-A-R10</t>
  </si>
  <si>
    <t>BQ-A-R11</t>
  </si>
  <si>
    <t>BQ-A-R12</t>
  </si>
  <si>
    <t>BQ-A-R13</t>
  </si>
  <si>
    <t>BQ-A-R14</t>
  </si>
  <si>
    <t>BQ-A-R15</t>
  </si>
  <si>
    <t>BQ-A-R16</t>
  </si>
  <si>
    <t>BQ-A-R17</t>
  </si>
  <si>
    <t>BQ-A-R18</t>
  </si>
  <si>
    <t>BQ-A-R19</t>
  </si>
  <si>
    <t>BQ-A-R20</t>
  </si>
  <si>
    <t>BQ-A-R21</t>
  </si>
  <si>
    <t>BQ-A-R22</t>
  </si>
  <si>
    <t>BQ-A-R23</t>
  </si>
  <si>
    <t>BQ-A-R24</t>
  </si>
  <si>
    <t>BQ-A-R25</t>
  </si>
  <si>
    <t>BQ-A-G1</t>
  </si>
  <si>
    <t>Paiement Honoraire Me LOCKO/Mois d'Avril 2025/3654856</t>
  </si>
  <si>
    <t>Paiement salaire du mois d'Avril 2025/LOUNDOU JeanRomain/3654853</t>
  </si>
  <si>
    <t>P29-A-R1</t>
  </si>
  <si>
    <t>P29-A-D1</t>
  </si>
  <si>
    <t>P29-A-R2</t>
  </si>
  <si>
    <t>P29-A-R3</t>
  </si>
  <si>
    <t>P29-A-R4</t>
  </si>
  <si>
    <t>P29-A-R5</t>
  </si>
  <si>
    <t>Cumul frais de frais de transport local du mois d'Avril 2025/P29</t>
  </si>
  <si>
    <t>P29-A-D2</t>
  </si>
  <si>
    <t>Cumul frais de trust building du mois d'Avril 2025/P29</t>
  </si>
  <si>
    <t>P29-A-D3</t>
  </si>
  <si>
    <t>Frais de virement salaire du mois d'avril 2025</t>
  </si>
  <si>
    <t>Ration et frais d'hôtel mission maitre Alain à Sibiti du 10 au 12/04/2025</t>
  </si>
  <si>
    <t>Romain- CONGO  Ration du 09 au 18/04/2025 à Pointe Noire,  Madingou</t>
  </si>
  <si>
    <t>Romain-CONGO Frais  d'Hôtel du 09 au 11/04/2025 à Pointe-Noire (02 nuitées)</t>
  </si>
  <si>
    <t>Romain- CONGO Frais  d'Hôtel du 11 au 18/04//2025 à Madingou  (07 nuités)</t>
  </si>
  <si>
    <t>Evariste-CONGO Ration du 11 au 18 Avril 2025 à Madingou</t>
  </si>
  <si>
    <t>Evariste-CONGO Frais de l'hôtel du 11 au 18 Avril 2025 à Madingou ( 7 nuitées)</t>
  </si>
  <si>
    <t>Frais d'impression sur bâche</t>
  </si>
  <si>
    <t>Déjeûner des agents du PALF</t>
  </si>
  <si>
    <t>Paiement frais de formation mensuel/formation en anglais</t>
  </si>
  <si>
    <t xml:space="preserve">Roderlin-CONGO Ration du 10 au 18/04/2025 à Sibiti et Madingou </t>
  </si>
  <si>
    <t xml:space="preserve">Roderlin-CONGO Ration du 02 au 04/04/2025 à Owando </t>
  </si>
  <si>
    <t>Roderlin-CONGO frais d'hôtel du 02 au 04/04/2025 à Owando (02 nuitées)</t>
  </si>
  <si>
    <t>Roderlin-CONGO frais d'hôtel du 10 au 12/04/2025 à Sibiti (02 nuitées)</t>
  </si>
  <si>
    <t>Roderlin-CONGO frais d'hôtel du 12 au 18/04/2025 à Madingou (06 nuitées)</t>
  </si>
  <si>
    <t>Achat carburant groupe élèctrogène Bureau</t>
  </si>
  <si>
    <t xml:space="preserve">Roderlin-CONGO Ration du 28 au 30/04/2025 à Owando </t>
  </si>
  <si>
    <t>Roderlin-CONGO frais d'hôtel du 28 au 30/04/2025 à Owando (02 nuitées)</t>
  </si>
  <si>
    <t>Paiement salaire du mois d'Avril 2025/Homéfa DOVI/3654855</t>
  </si>
  <si>
    <t>Paiement salaire du mois d'Avril 2025/BAVOUMINA NZOUSSI Dina Parfaite/365854</t>
  </si>
  <si>
    <t>Paiement salaire du mois d'Avril 2025/BOUNGOU MAKOSSO Abraham/3654851</t>
  </si>
  <si>
    <t>Solde  honoraire contrat n°55 Brazzaville cas / Maître MALONGA Marie Hélène/3654844</t>
  </si>
  <si>
    <t>Solde  honoraire contrat n°83 Dolisie cas NDOHO et NGOMA/ Maître BANZOUZI Alain/3654845</t>
  </si>
  <si>
    <t>Frais de la matérialisation de décisions de justice/Frais d'expédition/Paiement de l'acte d'appel</t>
  </si>
  <si>
    <t>Achat billet Owando-Brazzaville/ Roderlin</t>
  </si>
  <si>
    <t>Training</t>
  </si>
  <si>
    <t>Wildcat  2025</t>
  </si>
  <si>
    <t>Crepin</t>
  </si>
  <si>
    <t>phone credit received</t>
  </si>
  <si>
    <t>phone credit bought</t>
  </si>
  <si>
    <t>distributed</t>
  </si>
  <si>
    <t>name</t>
  </si>
  <si>
    <t>balance</t>
  </si>
  <si>
    <t>Date+A1:E38</t>
  </si>
  <si>
    <t>Solde  honoraire contrat n°82 Owando cas NGASSAKI et ELOMBO/ Maître BANZOUZI Alain/3654862</t>
  </si>
  <si>
    <t>Reglement Facture Gardiennage Mois d'Avril 2025/3654863</t>
  </si>
  <si>
    <t>Paiement salaire du mois de Mai 2025/Homéfa DOVI/3654869</t>
  </si>
  <si>
    <t>Paiement salaire du mois de Mai 2025/BAVOUMINA NZOUSSI Dina Parfaite/365873</t>
  </si>
  <si>
    <t>Paiement salaire du mois de Mai 2025/FOUMBA Roderlin/3654872</t>
  </si>
  <si>
    <t>Paiement salaire du mois de Mai 2025/BOUNGOU MAKOSSO Abraham/3654870</t>
  </si>
  <si>
    <t>Paiement salaire du mois de Mai 2025/LOUNDOU JeanRomain/3654871</t>
  </si>
  <si>
    <t>Paiement salaire du mois de Mai 2025/Crepin IBOUILI-IBOUILI</t>
  </si>
  <si>
    <t>Paiement salaire du mois de  Mai 2025/Evariste LELOUSSI</t>
  </si>
  <si>
    <t>Paiement salaire du mois de Mai 2025/PINDI BINGA Donald- Roméo</t>
  </si>
  <si>
    <t>Paiement Honoraire Me LOCKO/Mois de Mai 2025/3654877</t>
  </si>
  <si>
    <t>Reglement honoraire du mois de Mai 2025/G12/3654842</t>
  </si>
  <si>
    <t>RAPATRIEME01100 RAO00010812</t>
  </si>
  <si>
    <t>Paiement salaire du mois d'Avril 2025/FOUMBA Roderlin/36552</t>
  </si>
  <si>
    <t>Reglement loyer du mois de Mars 2025/3654865</t>
  </si>
  <si>
    <t>Frais de virement salaire du mois de Mai 2025/Evariste</t>
  </si>
  <si>
    <t>Frais de virement salaire du mois de Mai 2025/Crepin IBOUILI</t>
  </si>
  <si>
    <t>Frais de virement salaire du mois de Mai 2025/Donald-Roméo</t>
  </si>
  <si>
    <t>Oui</t>
  </si>
  <si>
    <t xml:space="preserve">Frais de transfert d'argent à P29 </t>
  </si>
  <si>
    <t>Frais de transfert d'argent à G12 et T73</t>
  </si>
  <si>
    <t>Frais de transport mission Maitre Alain à Dolisie du 07 au 10/05/2025</t>
  </si>
  <si>
    <t>Ration et frais d'hotel mission maitre Alain à Dolisie du 07 au 10/05/2025</t>
  </si>
  <si>
    <t>Frais de transfert d'argent à Donald-Roméo ,Me Alain et  Romain</t>
  </si>
  <si>
    <t>Réglement facture électricité periode Mars-Avril 2025/bureau PALF</t>
  </si>
  <si>
    <t>Entretien palmier bureau PALF</t>
  </si>
  <si>
    <t>Frais de tansfert d'argent à P29, T73, G12, Crépin et Donald roméo</t>
  </si>
  <si>
    <t>Fabricarion de cachet numériquebureau PALF</t>
  </si>
  <si>
    <t>Equipment</t>
  </si>
  <si>
    <t>Bonus du mois d'Avril 2025/Evariste</t>
  </si>
  <si>
    <t>Achat de 04 power Bank 20000mAh</t>
  </si>
  <si>
    <t>Reglement frais de réparation d'ordunateur</t>
  </si>
  <si>
    <t>Frais de tansfert d'argent à IT87</t>
  </si>
  <si>
    <t xml:space="preserve">Frais de tansfert d'argent à Evariste et  P29 </t>
  </si>
  <si>
    <t>Achat encre HP Laser noir et couleur 216A</t>
  </si>
  <si>
    <t>Paiement frais d'impression carte de visite coordinateur</t>
  </si>
  <si>
    <t>Frais de tansfert d'argent à P29 et Evariste</t>
  </si>
  <si>
    <t xml:space="preserve"> Frais de prestation de nettoyage jardin PALF Mai 2025</t>
  </si>
  <si>
    <t>Paiement Certificats d'hébergement  de martina et valentina</t>
  </si>
  <si>
    <t>Travel Expenses</t>
  </si>
  <si>
    <t>Reglement prestation de nettoyage  PALF du mois de Mai 2025</t>
  </si>
  <si>
    <t xml:space="preserve"> frais de ramassage Ordure Mai 2025</t>
  </si>
  <si>
    <t>Reglement facture internet periode du 01/05 au 30/06/2025 bureau PALF</t>
  </si>
  <si>
    <t>Frais de tansfert d'argent à Crepin, Donald-Roméo et Evariste</t>
  </si>
  <si>
    <t>Frais de tansfert d'argent à P29 et T73</t>
  </si>
  <si>
    <t>Frais de transport mission Maitre Alain à Impfondo du 01 au 06/06/2025</t>
  </si>
  <si>
    <t>Ration et frais d'hotel mission maitre Alain à Impfondo du 01 au 06/06/2025</t>
  </si>
  <si>
    <t>Bonus media portant sur l'interpellation de 2 Présumés trafiquants le 29/04/2025 à Owando</t>
  </si>
  <si>
    <t>credit  teléphonique MTN/PALF/Première partie du mois de mai 2025/Investigation</t>
  </si>
  <si>
    <t>credit  teléphonique MTN/PALF/Première partie du mois de Mai 2025/Investigation</t>
  </si>
  <si>
    <t>credit  teléphonique Airtel/PALF/Première partie du mois de mai 2025/Legal</t>
  </si>
  <si>
    <t>credit  teléphonique Airtel/PALF/Première partie du mois de mai 2025/Investigation</t>
  </si>
  <si>
    <t>office</t>
  </si>
  <si>
    <t>credit  teléphonique  du mois de mai 2025/Media</t>
  </si>
  <si>
    <t>credit  teléphonique du mois de Mai 2025/Investigation</t>
  </si>
  <si>
    <t>credit  teléphonique MTN/PALF/ Deuxième partie du mois de mai 2025/Investigation</t>
  </si>
  <si>
    <t>credit  teléphonique MTN/PALF/ Deuxième partie du mois de mai 2025/Legal</t>
  </si>
  <si>
    <t>credit  teléphonique Airtel/PALF/Deuxième  partie du mois de Mail 2025/Legal</t>
  </si>
  <si>
    <t>credit  teléphonique Airtel/PALF/Deuxième partie du mois de mai 2025/Investigation</t>
  </si>
  <si>
    <t>credit  teléphonique MTN/PALF/ Deuxième partie du mois de mai 2025/Management</t>
  </si>
  <si>
    <t>credit  teléphonique MTN/PALF/ Deuxième partie du mois de mai 2025/Office</t>
  </si>
  <si>
    <t>credit  teléphonique MTN/PALF/Première partie du mois de Juin 2025/Investigation</t>
  </si>
  <si>
    <t>credit  teléphonique MTN/PALF/Première partie du mois de JUIN 2025/Legal</t>
  </si>
  <si>
    <t>credit  teléphonique MTN/PALF/Première partie du mois de Juin 2025/Management</t>
  </si>
  <si>
    <t>credit  teléphonique MTN/PALF/Première partie du mois de Juin 2025/Office</t>
  </si>
  <si>
    <t>credit  teléphonique MTN/PALF/Première partie du mois de Mai 2025/Legal</t>
  </si>
  <si>
    <t>credit  teléphonique MTN/PALF/Première partie du mois de Mai 2025/Management</t>
  </si>
  <si>
    <t>credit  teléphonique MTN/PALF/Première partie du mois de Mai 2025/Office</t>
  </si>
  <si>
    <t>credit  teléphonique Airtel/PALF/Première partie du mois de Mai 2025/Legal</t>
  </si>
  <si>
    <t>credit  teléphonique Airtel/PALF/Première partie du mois de Juin 2025/Legal</t>
  </si>
  <si>
    <t>credit  teléphonique Airtel/PALF/Première partie du mois de Juin 2025/Investigation</t>
  </si>
  <si>
    <t>credit  teléphonique Airtel/PALF/Première partie du mois de Juin 2025/Media</t>
  </si>
  <si>
    <t>credit  teléphonique MTN/PALF/Première partie du mois de Juin 2025/Media</t>
  </si>
  <si>
    <t>IT87-MA-R1</t>
  </si>
  <si>
    <t>IT87-MA-D1</t>
  </si>
  <si>
    <t>IT87-MA-R2</t>
  </si>
  <si>
    <t>IT87-MA-R3</t>
  </si>
  <si>
    <t>IT87-MA-R4</t>
  </si>
  <si>
    <t>IT87-MA-R5</t>
  </si>
  <si>
    <t>Cumul frais de trust building du mois de Mai 2025/ IT87</t>
  </si>
  <si>
    <t>IT87-MA-D2</t>
  </si>
  <si>
    <t>IT87-MA-R6</t>
  </si>
  <si>
    <t>IT87-MA-R7</t>
  </si>
  <si>
    <t>IT87-MA-R8</t>
  </si>
  <si>
    <t>IT87-MA-R9</t>
  </si>
  <si>
    <t>Cumul frais de transport local du mois de Mai 2025/ IT87</t>
  </si>
  <si>
    <t>IT87-MA-D3</t>
  </si>
  <si>
    <t>IT87-MA-R10</t>
  </si>
  <si>
    <t>IT87-MA-R11</t>
  </si>
  <si>
    <t>P29-MA-R1</t>
  </si>
  <si>
    <t>P29-MA-D1</t>
  </si>
  <si>
    <t>P29-MA-R2</t>
  </si>
  <si>
    <t>P29-MA-R3</t>
  </si>
  <si>
    <t>P29-MA-R4</t>
  </si>
  <si>
    <t>P29-MA-R5</t>
  </si>
  <si>
    <t>P29-MA-R6</t>
  </si>
  <si>
    <t>P29-MA-R7</t>
  </si>
  <si>
    <t>P29-MA-R8</t>
  </si>
  <si>
    <t>P29-MA-D2</t>
  </si>
  <si>
    <t>P29-MA-R9</t>
  </si>
  <si>
    <t>P29-MA-R10</t>
  </si>
  <si>
    <t>P29-MA-R11</t>
  </si>
  <si>
    <t>P29-MA-R12</t>
  </si>
  <si>
    <t>P29-MA-R13</t>
  </si>
  <si>
    <t>P29-MA-R14</t>
  </si>
  <si>
    <t>Cumul frais de transport local du mois de Mai 2025/P29</t>
  </si>
  <si>
    <t>P29-MA-D3</t>
  </si>
  <si>
    <t>P29-MA-R15</t>
  </si>
  <si>
    <t>Cumul frais de trust building du mois de Mai 2025/P29</t>
  </si>
  <si>
    <t>P29-MA-D4</t>
  </si>
  <si>
    <t>P29-MA-R16</t>
  </si>
  <si>
    <t>P29-MA-R17</t>
  </si>
  <si>
    <t>P29-MA-R18</t>
  </si>
  <si>
    <t>P29-MA-R19</t>
  </si>
  <si>
    <t>P29-MA-R20</t>
  </si>
  <si>
    <t>P29-MA-R21</t>
  </si>
  <si>
    <t>P29-MA-R22</t>
  </si>
  <si>
    <t>P29-MA-R23</t>
  </si>
  <si>
    <t>P29-MA-R24</t>
  </si>
  <si>
    <t>T73-MA-R1</t>
  </si>
  <si>
    <t>T73-MA-D1</t>
  </si>
  <si>
    <t>T73-MA-R2</t>
  </si>
  <si>
    <t>T73-MA-R3</t>
  </si>
  <si>
    <t>T73-MA-R4</t>
  </si>
  <si>
    <t>T73-MA-R5</t>
  </si>
  <si>
    <t>T73-MA-R6</t>
  </si>
  <si>
    <t>T73-MA-R7</t>
  </si>
  <si>
    <t>T73-MA-R8</t>
  </si>
  <si>
    <t>T73-MA-D2</t>
  </si>
  <si>
    <t>T73-MA-R9</t>
  </si>
  <si>
    <t>T73-MA-R10</t>
  </si>
  <si>
    <t>T73-MA-R11</t>
  </si>
  <si>
    <t>Cumul frais de trust building du mois de Mai 2025/T73</t>
  </si>
  <si>
    <t>T73-MA-D3</t>
  </si>
  <si>
    <t>T73-MA-R12</t>
  </si>
  <si>
    <t>T73-MA-R13</t>
  </si>
  <si>
    <t>T73-MA-R14</t>
  </si>
  <si>
    <t>T73-MA-R15</t>
  </si>
  <si>
    <t>T73-MA-R16</t>
  </si>
  <si>
    <t>Cumul frais de transport local du mois de Mai 2025/T73</t>
  </si>
  <si>
    <t>T73-MA-D4</t>
  </si>
  <si>
    <t>T73-MA-R17</t>
  </si>
  <si>
    <t>T73-MA-R18</t>
  </si>
  <si>
    <t>T73-MA-R19</t>
  </si>
  <si>
    <t>G12-MA-R1</t>
  </si>
  <si>
    <t>G12-MA-D1</t>
  </si>
  <si>
    <t>G12-MA-R2</t>
  </si>
  <si>
    <t>G12-MA-R3</t>
  </si>
  <si>
    <t>G12-MA-R4</t>
  </si>
  <si>
    <t>G12-MA-R5</t>
  </si>
  <si>
    <t>G12-MA-R6</t>
  </si>
  <si>
    <t>G12-MA-R7</t>
  </si>
  <si>
    <t>G12-MA-R8</t>
  </si>
  <si>
    <t>G12-MA-R9</t>
  </si>
  <si>
    <t>G12-MA-R10</t>
  </si>
  <si>
    <t>G12-MA-D2</t>
  </si>
  <si>
    <t>G12-MA-R11</t>
  </si>
  <si>
    <t>G12-MA-R12</t>
  </si>
  <si>
    <t>G12-MA-R13</t>
  </si>
  <si>
    <t>G12-MA-R14</t>
  </si>
  <si>
    <t>G12-MA-R15</t>
  </si>
  <si>
    <t>G12-MA-R16</t>
  </si>
  <si>
    <t>G12-MA-R17</t>
  </si>
  <si>
    <t>G12-MA-R18</t>
  </si>
  <si>
    <t>Cumul Frais de trust building du mois de Mai 2025/G12</t>
  </si>
  <si>
    <t>G12-MA-D3</t>
  </si>
  <si>
    <t>Cumul frais de transport local du mois de Mai 2025/G12</t>
  </si>
  <si>
    <t>G12-MA-D4</t>
  </si>
  <si>
    <t>G12-MA-R19</t>
  </si>
  <si>
    <t>G12-MA-R20</t>
  </si>
  <si>
    <t>G12-MA-R21</t>
  </si>
  <si>
    <t>G12-MA-R22</t>
  </si>
  <si>
    <t>DH-MA-R2</t>
  </si>
  <si>
    <t>Règlement loyer/Avril 2025 (Coordinateur)</t>
  </si>
  <si>
    <t>DH-MA-R1</t>
  </si>
  <si>
    <t>DH-MA-R3</t>
  </si>
  <si>
    <t>Cumul frais de transport local du mois de Mai 2025/DOVI</t>
  </si>
  <si>
    <t>DH-MA-D1</t>
  </si>
  <si>
    <t>DH-MA-R4</t>
  </si>
  <si>
    <t>CA-MA-D7</t>
  </si>
  <si>
    <t>CR-MA-R12</t>
  </si>
  <si>
    <t>CR-MA-R13</t>
  </si>
  <si>
    <t>Bonus du mois de Avril 2025/Crépin</t>
  </si>
  <si>
    <t>Achat billet Brazzaville-Impfondo/ Crepin</t>
  </si>
  <si>
    <t>CR-MA-R1</t>
  </si>
  <si>
    <t>CREPIN-CONGO Ration  du 15/05/ au 04/06/2025 à Ouesso et Impfondo</t>
  </si>
  <si>
    <t>CR-MA-D1</t>
  </si>
  <si>
    <t>CR-MA-R14</t>
  </si>
  <si>
    <t>CR-MA-R15</t>
  </si>
  <si>
    <t xml:space="preserve"> CREPIN-CONGO Frais d'hotel  à Ouesso du 15 au 16/05/2025 (01 Nuitée)</t>
  </si>
  <si>
    <t>CR-MA-R2</t>
  </si>
  <si>
    <t>CREPIN-CONGO Frais d'hôtel  du 16 au 26/05/2025 à Impfondo (10 Nuites)/Crepin</t>
  </si>
  <si>
    <t>CR-MA-R3</t>
  </si>
  <si>
    <t>Raffraichissements pendant l'attente de l'opération avec 04 gendarmes en civile</t>
  </si>
  <si>
    <t>CR-MA-R4</t>
  </si>
  <si>
    <t>Raffraichissement pendant la mission sur EPENA</t>
  </si>
  <si>
    <t>CR-MA-R5</t>
  </si>
  <si>
    <t>Ration pendant la mission sur EPENA  avec 10 gendarmes, Evariste et Roméo</t>
  </si>
  <si>
    <t>CR-MA-R6</t>
  </si>
  <si>
    <t>Achat de 100 litres de carburant aller et retour Impfondo-EPENA</t>
  </si>
  <si>
    <t>Bonus pour 03 gendarmes d'EPENA ayant aidé pour l'interpellation de Parfait</t>
  </si>
  <si>
    <t>Bonus de 16 gendarmes ayant participé à l'opération d'Impfondo, le 27/05/2025</t>
  </si>
  <si>
    <t>CR-MA-R9</t>
  </si>
  <si>
    <t>Bonus de 10 gendarmes ayant effectué la mission d'EPENA le 27/05/2025</t>
  </si>
  <si>
    <t>CR-MA-R10</t>
  </si>
  <si>
    <t>Bonus de 02 EF pour l'opération du 27/05/2025 à Impfondo</t>
  </si>
  <si>
    <t>CR-MA-R11</t>
  </si>
  <si>
    <t xml:space="preserve">Cumul frais de transport local du mois de Mai 2025/Crepin </t>
  </si>
  <si>
    <t>CR-MA-D2</t>
  </si>
  <si>
    <t>CR-MA-R16</t>
  </si>
  <si>
    <t>CR-MA-R17</t>
  </si>
  <si>
    <t>CA-MA-R1</t>
  </si>
  <si>
    <t>CA-MA-D2</t>
  </si>
  <si>
    <t>CA-MA-R5</t>
  </si>
  <si>
    <t>CA-MA-R14</t>
  </si>
  <si>
    <t>CA-MA-R15</t>
  </si>
  <si>
    <t>CA-MA-R16</t>
  </si>
  <si>
    <t>CA-MA-R17</t>
  </si>
  <si>
    <t>CA-MA-R19</t>
  </si>
  <si>
    <t>CA-MA-R21</t>
  </si>
  <si>
    <t>CA-MA-R22</t>
  </si>
  <si>
    <t>CA-MA-R25</t>
  </si>
  <si>
    <t>CA-MA-R26</t>
  </si>
  <si>
    <t>CA-MA-R27</t>
  </si>
  <si>
    <t>CA-MA-R29</t>
  </si>
  <si>
    <t>Bonus du mois d'Avril 2025/Parfaite</t>
  </si>
  <si>
    <t>P-MA-R1</t>
  </si>
  <si>
    <t>P-MA-R2</t>
  </si>
  <si>
    <t>Cumul frais de transport local du mois de Mai 2025/ Parfaite</t>
  </si>
  <si>
    <t>P-MA-D1</t>
  </si>
  <si>
    <t>P-MA-R3</t>
  </si>
  <si>
    <t>CA-MA-R2</t>
  </si>
  <si>
    <t>CA-MA-D5</t>
  </si>
  <si>
    <t>CA-MA-R8</t>
  </si>
  <si>
    <t>CA-MA-R10</t>
  </si>
  <si>
    <t>CA-MA-R18</t>
  </si>
  <si>
    <t>CA-MA-R24</t>
  </si>
  <si>
    <t>CA-MA-R28</t>
  </si>
  <si>
    <t>AB-MA-R3</t>
  </si>
  <si>
    <t>AB-MA-R4</t>
  </si>
  <si>
    <t>AB-MA-R5</t>
  </si>
  <si>
    <t>AB-MA-R6</t>
  </si>
  <si>
    <t>Achat billet Brazzaville-Dolisie/Abraham</t>
  </si>
  <si>
    <t>AB-MA-R1</t>
  </si>
  <si>
    <t>ABRAHAM - CONGO Ration du 21 au 23/05/2025 à Dolisie (02 Nuitées)</t>
  </si>
  <si>
    <t>AB-MA-D1</t>
  </si>
  <si>
    <t>Achat billet Dolisie-Brazzaville /Abraham</t>
  </si>
  <si>
    <t>AB-MA-R2</t>
  </si>
  <si>
    <t>Cumul frais de Jail visits du mois de Mai 2025/ Abraham</t>
  </si>
  <si>
    <t>AB-MA-D2</t>
  </si>
  <si>
    <t>ABRAHAM - CONGO frais d'Hôtel  du 21 au 23/05/2025 à Dolisie (02 Nuitées)</t>
  </si>
  <si>
    <t>AB-MA-R7</t>
  </si>
  <si>
    <t>AB-MA-R8</t>
  </si>
  <si>
    <t>Cumul frais de transport local du mois de Mai 2025/ Abraham</t>
  </si>
  <si>
    <t>AB-MA-D3</t>
  </si>
  <si>
    <t>CA-MA-D3</t>
  </si>
  <si>
    <t>CA-MA-R11</t>
  </si>
  <si>
    <t>CA-MA-R20</t>
  </si>
  <si>
    <t>Bonus du mois d'Avril 2025/Romain</t>
  </si>
  <si>
    <t>CA-MA-D6</t>
  </si>
  <si>
    <t>CA-MA-R6</t>
  </si>
  <si>
    <t>CA-MA-R7</t>
  </si>
  <si>
    <t>CA-MA-R23</t>
  </si>
  <si>
    <t>RO-MA-R6</t>
  </si>
  <si>
    <t>RO-MA-R7</t>
  </si>
  <si>
    <t>Achat billet Brazzaville-Loudima/ Roderlin</t>
  </si>
  <si>
    <t>RO-MA-R1</t>
  </si>
  <si>
    <t>RO-MA-R2</t>
  </si>
  <si>
    <t>RODERLIN-CONGO Ration du 21 au 23/05/2025 à Sibiti (02 nuitées)</t>
  </si>
  <si>
    <t>RO-MA-D1</t>
  </si>
  <si>
    <t>Cumul Frais de Jail visits du mois de Mai 2025/Roderlin</t>
  </si>
  <si>
    <t>RO-MA-D2</t>
  </si>
  <si>
    <t>RODERLIN-CONGO frais d'hôtel du 21 au 23/05/2025 à Sibiti (02 nuitées)</t>
  </si>
  <si>
    <t>RO-MA-R3</t>
  </si>
  <si>
    <t>RO-MA-R4</t>
  </si>
  <si>
    <t>Achat billet Nkayi-Brazzaville/ Roderlin</t>
  </si>
  <si>
    <t>RO-MA-R5</t>
  </si>
  <si>
    <t>Cumul Frais de transport local  du mois de Mai 2025/Roderlin</t>
  </si>
  <si>
    <t>RO-MA-D3</t>
  </si>
  <si>
    <t>RO-MA-R8</t>
  </si>
  <si>
    <t>DR-MA-R9</t>
  </si>
  <si>
    <t>DR-MA-R1</t>
  </si>
  <si>
    <t>DONALD-ROMEO/ CONGO Ration  du  07 au 10/05/2025 à Dolisie</t>
  </si>
  <si>
    <t>DR-MA-D1</t>
  </si>
  <si>
    <t>Achat billet Dolisie-Brazzaville/Donald-Roméo</t>
  </si>
  <si>
    <t>DR-MA-R2</t>
  </si>
  <si>
    <t>DONALD-ROMEO/CONGO Frais d'hôtel du 07 au 10/05/2025 à Dolisie (03 Nuitées)</t>
  </si>
  <si>
    <t>DR-MA-R3</t>
  </si>
  <si>
    <t>Achat billet Brazzaville-Impfondo/Donald-Roméo</t>
  </si>
  <si>
    <t>DR-MA-R4</t>
  </si>
  <si>
    <t>DONALD-ROMEO/CONGO Ration  du  15/05 au 04/06/2025 à Ouesso/ Impfondo</t>
  </si>
  <si>
    <t>DR-MA-D2</t>
  </si>
  <si>
    <t>DR-MA-R10</t>
  </si>
  <si>
    <t>Frais d'hôtel/  01 Nuitée du 15 au 16/05/2025 à Ouesso (Hôtel  Divine)</t>
  </si>
  <si>
    <t>DR-MA-R5</t>
  </si>
  <si>
    <t>Frais d'impression de la photo et du mandat</t>
  </si>
  <si>
    <t>Court Fees</t>
  </si>
  <si>
    <t>DR-MA-R6</t>
  </si>
  <si>
    <t>DR-MA-R7</t>
  </si>
  <si>
    <t>Raffraichissement OP  à Impfondo/10  gendarmes et moi</t>
  </si>
  <si>
    <t>DR-MA-R8</t>
  </si>
  <si>
    <t>DR-MA-R11</t>
  </si>
  <si>
    <t>cumul frais de Jail visits du mois de Mai 2025/Donald-Romeo</t>
  </si>
  <si>
    <t>DR-MA-D3</t>
  </si>
  <si>
    <t>Cumul frais de transport local du mois de Mai 2025/Donald-Romeo</t>
  </si>
  <si>
    <t>DR-MA-D4</t>
  </si>
  <si>
    <t>COMPTA Romain-Juriste</t>
  </si>
  <si>
    <t>COMPTA Donald-Roméo - Juriste</t>
  </si>
  <si>
    <t>CA-MA-D1</t>
  </si>
  <si>
    <t>CA-MA-D8</t>
  </si>
  <si>
    <t>Achat Billet Brazzaville-Impfondo/ Evariste</t>
  </si>
  <si>
    <t>EV-MA-R1</t>
  </si>
  <si>
    <t>EVARISTE-CONGO Ration du 22 mai au 04 juin 2025 à d'Impfondo ( 13 nuitées )</t>
  </si>
  <si>
    <t>EV-MA-D1</t>
  </si>
  <si>
    <t>EVARISTE-CONGO Frais de l'hôtel à Ouesso du 22 au 23 mai 2025 (Une nuitée)</t>
  </si>
  <si>
    <t>EV-MA-R2</t>
  </si>
  <si>
    <t xml:space="preserve">EVARISTE-CONGO Frais  d'hôtel  du 23 au 24 mai 2025 à Enyellé (Une nuitée) </t>
  </si>
  <si>
    <t>EV-MA-R3</t>
  </si>
  <si>
    <t>EV-MA-R4</t>
  </si>
  <si>
    <t>Cumul frais de transport local du mois de Mai 2025/ Evariste</t>
  </si>
  <si>
    <t>EV-MA-D2</t>
  </si>
  <si>
    <t>EV-MA-R5</t>
  </si>
  <si>
    <t>EV-MA-R6</t>
  </si>
  <si>
    <t>EV-MA-R7</t>
  </si>
  <si>
    <t>CA-MA-R30</t>
  </si>
  <si>
    <t>CA-MA-R31</t>
  </si>
  <si>
    <t>CA-MA-R3</t>
  </si>
  <si>
    <t>CA-MA-R12</t>
  </si>
  <si>
    <t>CA-MA-R13</t>
  </si>
  <si>
    <t>CA-MA-R4</t>
  </si>
  <si>
    <t>Bonus du mois d'Avril 2025/Abraham</t>
  </si>
  <si>
    <t>Frais de transport mission Maitre Alain à Dolisie du 21 au 23/05/2025</t>
  </si>
  <si>
    <t>Ration et frais d'hotel mission maitre Alain à Dolisie du 21 au 23/05/2025</t>
  </si>
  <si>
    <t>RM-MA-R8</t>
  </si>
  <si>
    <t>Achat billet:Brazzaville-Dolisie/ Romain</t>
  </si>
  <si>
    <t>RM-MA-R1</t>
  </si>
  <si>
    <t>ROMAIN-CONGO Ration du 07 au 10/05/2025 à Dolisie</t>
  </si>
  <si>
    <t>RM-MA-D1</t>
  </si>
  <si>
    <t>Frais d'expédition</t>
  </si>
  <si>
    <t>RM-MA-R2</t>
  </si>
  <si>
    <t>Achat billet  Dolisie-Brazzaville/ Romain</t>
  </si>
  <si>
    <t>RM-MA-R3</t>
  </si>
  <si>
    <t>ROMAIN-CONGO Frais d'Hotel du 07 au 10/05/2025 à Dolisie (03nuitées)</t>
  </si>
  <si>
    <t>RM-MA-R4</t>
  </si>
  <si>
    <t>RM-MA-R9</t>
  </si>
  <si>
    <t>Achat billet Brazzaville-Owando/ Romain</t>
  </si>
  <si>
    <t>RM-MA-R5</t>
  </si>
  <si>
    <t>ROMAIN-CONGO  Ration du 21 au 23/05/2025 à Owando</t>
  </si>
  <si>
    <t>RM-MA-D2</t>
  </si>
  <si>
    <t>Achat billet  Owando-Brazzaville/ Romain</t>
  </si>
  <si>
    <t>RM-MA-R6</t>
  </si>
  <si>
    <t>cumul frais de Jail visits du mois de Mai 2025/Romain</t>
  </si>
  <si>
    <t>RM-MA-D3</t>
  </si>
  <si>
    <t>ROMAIN-CONGO Frais d'hotel du 21 au 23 Mai 2025 à Owando (02 Nuitées)</t>
  </si>
  <si>
    <t>RM-MA-R7</t>
  </si>
  <si>
    <t>Cumul frais de transport local du mois de Mai 2025/Romain</t>
  </si>
  <si>
    <t>RM-MA-D4</t>
  </si>
  <si>
    <t>RM-MA-R10</t>
  </si>
  <si>
    <t>CA-MA-D4</t>
  </si>
  <si>
    <t>BQ-MA-R13</t>
  </si>
  <si>
    <t>BQ-MA-R1</t>
  </si>
  <si>
    <t>BQ-MA-R2</t>
  </si>
  <si>
    <t>BQ-MA-R14</t>
  </si>
  <si>
    <t>BQ-MA-R12</t>
  </si>
  <si>
    <t>BQ-MA-G1</t>
  </si>
  <si>
    <t>BQ-MA-R3</t>
  </si>
  <si>
    <t>BQ-MA-R4</t>
  </si>
  <si>
    <t>BQ-MA-R5</t>
  </si>
  <si>
    <t>BQ-MA-R6</t>
  </si>
  <si>
    <t>BQ-MA-R7</t>
  </si>
  <si>
    <t>BQ-MA-R8</t>
  </si>
  <si>
    <t>BQ-MA-R9</t>
  </si>
  <si>
    <t>BQ-MA-R10</t>
  </si>
  <si>
    <t>BQ-MA-R15</t>
  </si>
  <si>
    <t>BQ-MA-R16</t>
  </si>
  <si>
    <t>BQ-MA-R17</t>
  </si>
  <si>
    <t>BQ-MA-R11</t>
  </si>
  <si>
    <t>Bonus du mois de d'avril 2025/Roderlin</t>
  </si>
  <si>
    <t>Bonus du mois d'Avril 2025/Donal-Roméo</t>
  </si>
  <si>
    <t>(vide)</t>
  </si>
  <si>
    <t>Parfaire BAVOUMINA</t>
  </si>
  <si>
    <t>Étiquettes de colonnes</t>
  </si>
  <si>
    <t>Somme de distributed</t>
  </si>
  <si>
    <t>G12-MA-R23</t>
  </si>
  <si>
    <t>Phone credit</t>
  </si>
  <si>
    <t>CA-MA-R9</t>
  </si>
  <si>
    <t>Reglement prestation de nettoyage  PALF du mois d'Avril 2025</t>
  </si>
  <si>
    <t>Wildcat 2024</t>
  </si>
  <si>
    <t>Wildcat 2025</t>
  </si>
  <si>
    <t>Reglement honoraire du mois de Mai 2025/IT87/3654878</t>
  </si>
  <si>
    <t>Reglement Facture Gardiennage Mois de Mai 2025/3654876</t>
  </si>
  <si>
    <t>Reglement loyer du mois de Mai 2025/3654864</t>
  </si>
  <si>
    <t>Reglement honoraire du mois de de Mai 2025/P29/3654880</t>
  </si>
  <si>
    <t>Reglement honoraire du mois de Mai 2025/T73/3654881</t>
  </si>
  <si>
    <t>Paiement salaire du mois de Mai 2025/LOUNDOU JeanRomain/3654891</t>
  </si>
  <si>
    <t>Acompte honoraire contrat N°84 Impfondo cas MBEKELE, MOUANDOLA et EBOUZI/Maitre Marie Alain BAZOUNZI/ 3654883</t>
  </si>
  <si>
    <t>Solde  honoraire contrat n°78 Sibiti cas BOUTSANA et KAMBOU/ Maître BANZOUZI Alain/3654882</t>
  </si>
  <si>
    <t>Acompte honoraire contrat N°60_Brazzaville cas NZETSI BIMOKO et Consorts/Maitre Marie Hélène NANITELAMIO MALONGA/ 3654884</t>
  </si>
  <si>
    <t>Reglement loyer du mois de Juin 2025/3654885</t>
  </si>
  <si>
    <t>Frais de tansfert d'argent à  Evariste</t>
  </si>
  <si>
    <t>Frais de tansfert d'argent à  Evariste, Crepin, Romain et Donald-Roméo</t>
  </si>
  <si>
    <t>Achat fournitures de bureau marqueurs, chemise cartonée, enveloppe , facturier/Bureau PALF</t>
  </si>
  <si>
    <t>Frais de transport mission Maitre Alain à Impfondo du 01 au 15/06/2025</t>
  </si>
  <si>
    <t>Ration et frais d'hotel mission maitre Alain à Impfondo du 01 au 15/06/2025</t>
  </si>
  <si>
    <t>Frais de tansfert d'argent à Romain et Me Alain</t>
  </si>
  <si>
    <t>Frais de tansfert d'argent à Roderlin</t>
  </si>
  <si>
    <t>Bonus du mois de Mai 2025/Abraham</t>
  </si>
  <si>
    <t>Frais de tansfert d'argent à Crépin et Donald-Roméo</t>
  </si>
  <si>
    <t>Bonus du mois de Mai 2025/Evariste</t>
  </si>
  <si>
    <t>Bonus opération du 27/05/2025 à Impfondo/Evariste</t>
  </si>
  <si>
    <t>Bonus du mois de Mai 2025/Romain</t>
  </si>
  <si>
    <t>CA-J-D6</t>
  </si>
  <si>
    <t>CA-J-D7</t>
  </si>
  <si>
    <t>Achat de 02 petit telephone bureau PALF</t>
  </si>
  <si>
    <t>Bonus du mois de Mai 2025/Parfaite</t>
  </si>
  <si>
    <t>CA-J-D8</t>
  </si>
  <si>
    <t>Frais de tansfert d'argent à Roderlin et Abraham</t>
  </si>
  <si>
    <t>Bonus du mois de Mai 2025/Crepin</t>
  </si>
  <si>
    <t>CA-J-D9</t>
  </si>
  <si>
    <t>Bonus operation du 27/05/2025 à Impfondo/Crepin</t>
  </si>
  <si>
    <t>CA-J-D10</t>
  </si>
  <si>
    <t>Bonus du mois de Mai 2025/Donald-Roméo</t>
  </si>
  <si>
    <t>CA-J-D11</t>
  </si>
  <si>
    <t>Bonus operation du 27/05/2025 à Impfondo/Donald-Roméo</t>
  </si>
  <si>
    <t>CA-J-D12</t>
  </si>
  <si>
    <t>Bonus du mois de Mai 2025/Roderlin</t>
  </si>
  <si>
    <t>CA-J-D13</t>
  </si>
  <si>
    <t>Frais de transport mission Maitre Alain à Dolisie du 18 au 20/06/2025</t>
  </si>
  <si>
    <t>Ration et frais d'hotel mission maitre Alain à Dolisie du 18 au 20/06/2025</t>
  </si>
  <si>
    <t>CA-J-D14</t>
  </si>
  <si>
    <t>Frais de transport mission Maitre Alain à Impfondo du 22 au 29/06/2025</t>
  </si>
  <si>
    <t>Ration et frais d'hotel mission maitre Alain à Impfondo du 22 au 29/06/2025</t>
  </si>
  <si>
    <t>Maintenance groupe electrogène bureau PALF</t>
  </si>
  <si>
    <t>Frais de tansfert d'argent à Donald roméo</t>
  </si>
  <si>
    <t>Rent et Utilities</t>
  </si>
  <si>
    <t>Reglement prestation de nettoyage  PALF du mois de Juin 2025</t>
  </si>
  <si>
    <t>Reglement facture internet periode du 01/07 au 31/07/2025 bureau PALF</t>
  </si>
  <si>
    <t>Règlement Loyer Mai 2025/Coordinateur</t>
  </si>
  <si>
    <t>Credit telephonique MTN PALF/Deuxième partie du mois de Juin 2025/DOVI</t>
  </si>
  <si>
    <t>Cumul frais de transport local du mois de Juin 2025/DOVI</t>
  </si>
  <si>
    <t>CREPIN-CONGO Ration du 04 au 15/06/2025 à Impfondo</t>
  </si>
  <si>
    <t>Achat Billet Impfondo-Brazzaville/ Crepin</t>
  </si>
  <si>
    <t xml:space="preserve"> Crepin-CONGO Frais d'hôtel du 27/05 au 13/06 2025  à Impfondo (17 Nuitées)</t>
  </si>
  <si>
    <t>Crépin-CONGO Frais d'hôtel du 13 au 14/06/2025 à Enyele (01 nuitée)</t>
  </si>
  <si>
    <t>Frais d'Hôtel, Crépin-CONGO Frais d'hôtel du 14 au 15/06/2025 à Oyo (01 Nuitée )</t>
  </si>
  <si>
    <t>Credit teléphonique MTN PALF/Deuxième partie du mois de Juin 2025/Crepin</t>
  </si>
  <si>
    <t>Credit teléphonique AIRTEL PALF/Deuxième partie du mois de Juin 2025/Crepin</t>
  </si>
  <si>
    <t>Cumul frais de transport local du mois de Juin 2025/Crepin</t>
  </si>
  <si>
    <t>Credit teléphonique MTN PALF/Deuxième partie du mois de Juin 2025/ Parfaite</t>
  </si>
  <si>
    <t>P-J-R1</t>
  </si>
  <si>
    <t>Cumul frais de transport local du mois de Juin 2025/Parfaite</t>
  </si>
  <si>
    <t>P-J-D1</t>
  </si>
  <si>
    <t>Frais de ramassage Ordure Juin 2025</t>
  </si>
  <si>
    <t>P19-J-R1</t>
  </si>
  <si>
    <t>P19-J-R2</t>
  </si>
  <si>
    <t>P19-J-R3</t>
  </si>
  <si>
    <t>Credit teléphonique MTN PALF/Deuxième partie du mois de Juin 2025/P29</t>
  </si>
  <si>
    <t>P19-J-R4</t>
  </si>
  <si>
    <t>credit teléphonique AIRTEL PALF/Deuxième partie du mois de Juin 2025/P29</t>
  </si>
  <si>
    <t>P19-J-R5</t>
  </si>
  <si>
    <t>Cumul frais de transport local du mois de Juin  2025/P29</t>
  </si>
  <si>
    <t>Cumul frais de trust builfing du mois de Juin  2025/P29</t>
  </si>
  <si>
    <t>Paiement frais de formation</t>
  </si>
  <si>
    <t>Crédit teléphonique MTN PALF/Deuxième partie du mois de Juin 2025</t>
  </si>
  <si>
    <t>cumul frais de trust building du mois de Juin 2025/T73</t>
  </si>
  <si>
    <t>Cumul frais de transport local du mois de Juin 2025/T73</t>
  </si>
  <si>
    <t>Cumul frais de trust building du mois de Juin 2025/IT87</t>
  </si>
  <si>
    <t>Credit teléphonique MTN PALF / Deuxième partie du mois de Juin 2025/ IT87</t>
  </si>
  <si>
    <t>Cumul frais de transport local du mois de Juin 2025/IT87</t>
  </si>
  <si>
    <t>Credit télephonique MTN PALF/Deuxième partie du mois de Juin 2025/G12</t>
  </si>
  <si>
    <t>Credit télephonique AIRTEL PALF/Deuxième partie du mois de Juin 2025/G12</t>
  </si>
  <si>
    <t>Cumul frais de transport local du mois Juin 2025/G12</t>
  </si>
  <si>
    <t>Achat billet Brazzaville-Loudima/Abraham</t>
  </si>
  <si>
    <t>ABRAHAM - CONGO Ration du 11 au 13/06/2025 à Sibiti (02 Nuitées)</t>
  </si>
  <si>
    <t>Taxi: Loudima-Sibiti</t>
  </si>
  <si>
    <t>ABRAHAM - CONGO frais d'Hôtel (Hôtel Le Papyrus) du 11 au 14/06/2025 à Sibiti (03 Nuitées)</t>
  </si>
  <si>
    <t>Taxi: Sibiti-Nkayi</t>
  </si>
  <si>
    <t>Achat Billet Nkayi-Brazzaville</t>
  </si>
  <si>
    <t>Credit teléphonique MTN PALF/ Deuxième partie du mois de Juin 2025/ Abraham</t>
  </si>
  <si>
    <t>AB-J-R6</t>
  </si>
  <si>
    <t>Credit teléphonique AIRTEL PALF/ Deuxième partie du mois de Juin 2025/ Abraham</t>
  </si>
  <si>
    <t>AB-J-R7</t>
  </si>
  <si>
    <t>AB-J-R8</t>
  </si>
  <si>
    <t>ABRAHAM - CONGO Ration du 18 au 20/06/2025 à Dolisie (02 Nuitées)</t>
  </si>
  <si>
    <t>Cumul frais de Jail visits du mois de Juin 2025/Abraham</t>
  </si>
  <si>
    <t>AB-J-D3</t>
  </si>
  <si>
    <t>ABRAHAM - CONGO Frais d'Hôtel (Hôtel La Gloire) du 18 au 20/06/2025 à Dolisie (02 Nuitées)</t>
  </si>
  <si>
    <t>AB-J-R9</t>
  </si>
  <si>
    <t>Cumul frais de transport local du mois de Juin 2025/ Abraham</t>
  </si>
  <si>
    <t>AB-J-D4</t>
  </si>
  <si>
    <t>Frais de transport mission Maitre Helene du 04 au 06/06/2025 à Owando</t>
  </si>
  <si>
    <t>Ration et frais d'hotel mission maitre Helène du 04 au 06/06/2025 à Owando</t>
  </si>
  <si>
    <t>Achat billet Brazzaville-Owando</t>
  </si>
  <si>
    <t>RODERLIN-CONGO Ration du 04 au 06/06/2025 à Owando (02 nuitées)</t>
  </si>
  <si>
    <t xml:space="preserve">Achat billet Owando- Brazzaville </t>
  </si>
  <si>
    <t xml:space="preserve">Paiement des frais de notification de l'ordonnance de règlement definitif du cas EBI Aimé </t>
  </si>
  <si>
    <t>RODERLIN-CONGO frais d'hôtel du 04 au 06/06/2025 à Owando (02 nuitées)</t>
  </si>
  <si>
    <t>RO-J-R4</t>
  </si>
  <si>
    <t>RO-J-R5</t>
  </si>
  <si>
    <t>Frais de transport mission Maitre Hélene  du 11 au 14/06/2025 à Owando</t>
  </si>
  <si>
    <t>Ration et frais d'hotel mission maitre Hélène du 11 au 14/06/2025 à Owando</t>
  </si>
  <si>
    <t>RODERLIN-CONGO Ration du 11 au 14/06/2025 à Owando (03 nuitées)</t>
  </si>
  <si>
    <t>RO-J-R6</t>
  </si>
  <si>
    <t>RODERLIN-CONGO frais d'hôtel du 11 au 14/06/2025 à Owando (03 nuitées)</t>
  </si>
  <si>
    <t>RO-J-R7</t>
  </si>
  <si>
    <t>Credit teléphonique MTN PALF/Deuxième partie du mois de Juin 2025/Roderlin</t>
  </si>
  <si>
    <t>RO-J-R8</t>
  </si>
  <si>
    <t>RO-J-R9</t>
  </si>
  <si>
    <t>RODERLIN-CONGO Ration du 24 au 26/06/2025 à Owando (02 nuitées)</t>
  </si>
  <si>
    <t>Frais de transport mission Maitre Hélene  du 25 au 27/06/2025 à Owando</t>
  </si>
  <si>
    <t>Ration et frais d'hotel mission maitre Hélène  du 25 au 27/06/2025 à Owando</t>
  </si>
  <si>
    <t>RO-J-R10</t>
  </si>
  <si>
    <t>cumul frais de Jail visits du mois de Juin 2025/Roderlin</t>
  </si>
  <si>
    <t>RO-J-D4</t>
  </si>
  <si>
    <t>RODERLIN-CONGO Frais d'hôtel du 25 au 27/06/2025 à Owando (02 nuitées)</t>
  </si>
  <si>
    <t>RO-J-R11</t>
  </si>
  <si>
    <t>Cumul frais de transport local du mois de Juin 2025/Roderlin</t>
  </si>
  <si>
    <t>RO-J-D5</t>
  </si>
  <si>
    <t>Achat Billet Brazzaville-Impfondo/ Romain</t>
  </si>
  <si>
    <t>ROMAIN-CONGO: Ration du 01 au 08/2025 à Impfondo</t>
  </si>
  <si>
    <t>Romain-CONGO: Frais d'hotel du 01 au 02/06/2025 à Ouesso (01 Nuitée)</t>
  </si>
  <si>
    <t>Romain-CONGO: Frais d'hotel du 02 au 03/06/2025 à Enyele (01 Nuitée)</t>
  </si>
  <si>
    <t>Achat billet Impfondo- Brazzaville/ Romain</t>
  </si>
  <si>
    <t>Romain-CONGO: Frais d'hotel du 03 au 06/06/2025 à Impfondo (03 Nuitée)</t>
  </si>
  <si>
    <t>ROMAIN-CONGO: Frais d'hotel  du 06 au 07/06/2025 à Enyele (01nuitées)</t>
  </si>
  <si>
    <t>RM-J-R6</t>
  </si>
  <si>
    <t>ROMAIN-CONGO: Frais d'hotel  du 07 au 08/06/2025 Gamboma (01nuitées)</t>
  </si>
  <si>
    <t>Cumul frais de transport local du mois de Juin 2025/Romain</t>
  </si>
  <si>
    <t>Prime du 13 eme Mois 2024/Romain</t>
  </si>
  <si>
    <t>Donald-Roméo-CONGO Ration du 04 au 15/06/2025 à Impfondo</t>
  </si>
  <si>
    <t>Achat billet Impfondo-Brazzaville/Donald-Roméo</t>
  </si>
  <si>
    <t>Donald Roméo-CONGO Frais d'hôtel du 16/05 au 13/06/2025 à Impfondo ( 28 Nuitées )</t>
  </si>
  <si>
    <t>Donald Roméo- CONGO Frais d'hôtel du 13 au 14/06/2025 à Enyele ( 01 Nuitée)</t>
  </si>
  <si>
    <t>Donald Roméo- CONGO Frais d'hôtel du 14 au 15/06/2025 à Oyo  01 Nuitée)</t>
  </si>
  <si>
    <t>Credit teléphonique MTN PALF/Dexième partie du mois de Juin 2025/Donald-Roméo</t>
  </si>
  <si>
    <t>DR-J-R6</t>
  </si>
  <si>
    <t>Achat billet Brazzaville-Imfondo/Donald-Roméo</t>
  </si>
  <si>
    <t>DR-J-R7</t>
  </si>
  <si>
    <t>Donald Roméo-CONGO Ration  du  22 au 29/06/2025 à Impfondo</t>
  </si>
  <si>
    <t>Donald Roméo-CONGO Frais d'hôtel du 22 au 23/06/2025 à Ouesso (  01 Nuitée)</t>
  </si>
  <si>
    <t>DR-J-R8</t>
  </si>
  <si>
    <t>Donald Roméo-CONGO Frais d'hôtedu 23 au 24/06/2025 à Enyele (  01 Nuitée)</t>
  </si>
  <si>
    <t>DR-J-R9</t>
  </si>
  <si>
    <t>Cumul frais de Jail visits du mois de Juin 2025/Donald-Romeo</t>
  </si>
  <si>
    <t>DR-J-D3</t>
  </si>
  <si>
    <t>Achat billet Imfondo-Brazzaville</t>
  </si>
  <si>
    <t>DR-J-R10</t>
  </si>
  <si>
    <t>Donald Roméo-CONGO Frais d'hôtel du 24 au 27/06/2025 à Impfondo ( 03 Nuitées )</t>
  </si>
  <si>
    <t>DR-J-R11</t>
  </si>
  <si>
    <t>Donald Roméo- CONGO Frais d'hôtel du 27 au 28/06/2025 à Enyele (01 Nuitée)</t>
  </si>
  <si>
    <t>DR-J-R12</t>
  </si>
  <si>
    <t>Donald Roméo-CONGO Frais d'hôtel du 28 au 29/06/2025 à Oyo ( 01 Nuitée)</t>
  </si>
  <si>
    <t>DR-J-R13</t>
  </si>
  <si>
    <t>Cumul frais de transport local du mois de Juin 2025/Donald-Romeo</t>
  </si>
  <si>
    <t>DR-J-D4</t>
  </si>
  <si>
    <t>Achat billet Impfondo-Brazzaville/ Evariste</t>
  </si>
  <si>
    <t>Evariste-CONGO Ration  du 04 au 08 /06/ 2025 à Impfondo</t>
  </si>
  <si>
    <t xml:space="preserve">Evariste- CONGO Frais de l'hôtel du 24/05 au 06/06/2025 à Impfondo  ( 13 nuitées) </t>
  </si>
  <si>
    <t xml:space="preserve">Evariste- CONGO Frais de l'hôtel du 06 au 07/06/ 2025 à Enyele (01 nuitée) </t>
  </si>
  <si>
    <t>Evariste- CONGO Frais de l'hôtel du 07 au 08/06/2025 à Gamboma (01 nuitée)</t>
  </si>
  <si>
    <t>Credit teléphonique MTN PALF/ Deuxième partie du mois de Juin 2025</t>
  </si>
  <si>
    <t>EV-J-R5</t>
  </si>
  <si>
    <t>media</t>
  </si>
  <si>
    <t>Cumul frais de transport local du mois de Juin 2025/ Evariste</t>
  </si>
  <si>
    <t>Somme de Receved in XAF</t>
  </si>
  <si>
    <t>Somme de Receved  $</t>
  </si>
  <si>
    <t>Achat eau mineral 10 Litres/Bureau</t>
  </si>
  <si>
    <t>Frais de transfert d'argent à  Evariste</t>
  </si>
  <si>
    <t>Bonus media portant sur l'interpallation de 03 trafiquants à Impfondo(Tele congo chaine nationale en langues françcaisn, Kituba et lingala</t>
  </si>
  <si>
    <t>Bonus media portant sur l'interpallation de 03 trafiquants à Impfondo ( Pièces presse internet, pièces presse papier et radio)</t>
  </si>
  <si>
    <t>Bonus media portant sur l'annonce de laudience du 19 Juin 2025 à Brazzaville et à Dolisie( Pièces presse internet, Pièces presse papier et radio)</t>
  </si>
  <si>
    <t>Congo</t>
  </si>
  <si>
    <t>Transfer Fees</t>
  </si>
  <si>
    <t>Operations</t>
  </si>
  <si>
    <t>Bonus to media officer</t>
  </si>
  <si>
    <t>ABRAHAM - CONGO food allowance du 12/02 au 01/03/2025 à Owando (02 Nuitées)</t>
  </si>
  <si>
    <t>ROMAIN - CONGO Ration du 15/02/ au 04/03/2025 à Owando(14 Nuitées)</t>
  </si>
  <si>
    <r>
      <t>Règlement loyer du mois de Février 2025/DOVI Coordinateur PALF</t>
    </r>
    <r>
      <rPr>
        <sz val="11"/>
        <color rgb="FFFF0000"/>
        <rFont val="Calibri"/>
        <family val="2"/>
        <charset val="238"/>
      </rPr>
      <t xml:space="preserve"> </t>
    </r>
  </si>
  <si>
    <r>
      <t>Ration et Frais d'hôtel mission à Owando de maitre Alain du 19 au 21/03/2025 suivi audience à Owando</t>
    </r>
    <r>
      <rPr>
        <sz val="11"/>
        <color rgb="FFFF0000"/>
        <rFont val="Calibri"/>
        <family val="2"/>
        <charset val="238"/>
      </rPr>
      <t xml:space="preserve"> </t>
    </r>
  </si>
  <si>
    <r>
      <t>achat carte sim</t>
    </r>
    <r>
      <rPr>
        <sz val="11"/>
        <color rgb="FFFF0000"/>
        <rFont val="Calibri"/>
        <family val="2"/>
        <charset val="238"/>
      </rPr>
      <t xml:space="preserve"> </t>
    </r>
  </si>
  <si>
    <r>
      <t>Cumul frais de transport local du mois de Mars 2025/Romain</t>
    </r>
    <r>
      <rPr>
        <sz val="11"/>
        <color rgb="FFFF0000"/>
        <rFont val="Calibri"/>
        <family val="2"/>
        <charset val="238"/>
      </rPr>
      <t xml:space="preserve"> </t>
    </r>
  </si>
  <si>
    <t>Publication</t>
  </si>
  <si>
    <t>closed grants from 2024</t>
  </si>
  <si>
    <t>Elonga</t>
  </si>
  <si>
    <t>Dahan</t>
  </si>
  <si>
    <t>Maison-Bureau</t>
  </si>
  <si>
    <t>Bureau-Maison</t>
  </si>
  <si>
    <t>Règlement loyer Juin 2025/Coordinateur</t>
  </si>
  <si>
    <t>Maison- Bureau</t>
  </si>
  <si>
    <t>Maison-Cabinet d'huissier</t>
  </si>
  <si>
    <t>Cabinet - Bureau</t>
  </si>
  <si>
    <t>Maison- Cabinet d'huissier</t>
  </si>
  <si>
    <t>Bureau- Interpol</t>
  </si>
  <si>
    <t>Interpol-Bureau</t>
  </si>
  <si>
    <t>Bureau-Cabinet d'huissier</t>
  </si>
  <si>
    <t>Cabinet d'huissier - Bureau</t>
  </si>
  <si>
    <t>Bureau-Hôtel PEFACO (rendez vous)</t>
  </si>
  <si>
    <t>Hôtel PEFACO -Bureau</t>
  </si>
  <si>
    <t>Bureau - Maison</t>
  </si>
  <si>
    <t>Bureau-Hyppocampe</t>
  </si>
  <si>
    <t>Aspinall-Bureau</t>
  </si>
  <si>
    <t>DH-JU-D1</t>
  </si>
  <si>
    <t>DH-JU-R1</t>
  </si>
  <si>
    <t>Taxi: Bureau-Domicile/crépin</t>
  </si>
  <si>
    <t>Taxi: Domicile-Bureau pour la signature des chèques des salaires/crépin</t>
  </si>
  <si>
    <t>Taxi: Ecole de police-Bureau/crépin</t>
  </si>
  <si>
    <t>Taxi: Domicile Mayanga-Marché Total pour le bureau après l'appel du Coordinateur/crépin</t>
  </si>
  <si>
    <t>Taxi: Marché Total-Bureau/crépin</t>
  </si>
  <si>
    <t>Taxi: Bureau-Marché Total/crépin</t>
  </si>
  <si>
    <t>Marché Total-Domicile Mayanga/crépin</t>
  </si>
  <si>
    <t>Taxi: Domicile-Marché Total pour rencontre avec la comptable/crépin</t>
  </si>
  <si>
    <t>Taxi: Marché Total-Domicile/crépin</t>
  </si>
  <si>
    <t>CR-JU-D1</t>
  </si>
  <si>
    <t>Taxi:  Bureau-Banque BCI/ Retrait relevé de compte bancaire du mois de Juin 2025</t>
  </si>
  <si>
    <t>Taxi:  Banque BCI - Bureau/ Retrait relevé de compte bancaire du mois de Juin 2025</t>
  </si>
  <si>
    <t>Taxi:  Bureau- Société de gardiennage/remis de chèque du mois de Juin 2025</t>
  </si>
  <si>
    <t>Taxi:  Societé de gardiennage  - Bureau/remis de chèque du mois de Juin 2025</t>
  </si>
  <si>
    <t xml:space="preserve">Taxi:  Domicile-Banque BCI/ Vérification des fonds dans le compte </t>
  </si>
  <si>
    <t xml:space="preserve">Taxi:  Banque BCI - Bureau/  Vérification des fonds dans le compte </t>
  </si>
  <si>
    <t>Taxi:  Bureau-Banque BCI/ Dépôt ordre de virement salaire du mois de Juin 2025</t>
  </si>
  <si>
    <t>Taxi:  Banque BCI - Bureau/ Dépôt ordre de virement salaire du mois de Juin 2025</t>
  </si>
  <si>
    <t>Taxi:  Bureau-Banque BCI</t>
  </si>
  <si>
    <t>Taxi:  Banque BCI - CNSS/Paiement CNSS deuxième  trimestre de l'année 2025</t>
  </si>
  <si>
    <t>Taxi: CNSS-Bureau</t>
  </si>
  <si>
    <t>Taxi:  Bureau- Direction MTN/Achat crédits  departement management</t>
  </si>
  <si>
    <t>Taxi:   Direction MTN- Domicile/Achat crédits  departement management</t>
  </si>
  <si>
    <t>Taxi:  Bureau-Banque BCI/ Verification de fonds dans le compte</t>
  </si>
  <si>
    <t>Taxi:  Banque BCI - CNSS/ vérification des cotisations dans les comptes des agents PALF</t>
  </si>
  <si>
    <t>Taxi: CNSS- Bureau/Pour les cours Banque et CNSS</t>
  </si>
  <si>
    <t>Taxi:  Bureau- Direction MTN/Achat crédits  departement legal/ Donald-Roméo</t>
  </si>
  <si>
    <t>Taxi:   Direction MTN- Domicile/Achat crédits  departement Legal/Donald-Roméo</t>
  </si>
  <si>
    <t>Taxi:  Banque BCI - Bureau/ Aprro caisse</t>
  </si>
  <si>
    <t>Taxi:  Bureau- Direction MTN/Transfert d'argent à Donald-Roméo</t>
  </si>
  <si>
    <t>Taxi:   Direction MTN- Bureau/ Transfert d'argent et Appros caisse</t>
  </si>
  <si>
    <t>Taxi:  Bureau- Cabinet d'avocat/Paiement des frais de notification cas Mervielle</t>
  </si>
  <si>
    <t>Taxi:  Cabinet d'Avocat - Bureau/Paiement des frais de notification cas Mervielle</t>
  </si>
  <si>
    <t>Taxi:  Bureau-Banque BCI/ Dépôt ordre de virement salaire du mois de Juillet 2025</t>
  </si>
  <si>
    <t>Taxi:  Banque BCI - Direction Energie Electrique du congo / Paiement facture d'Electricité du mois de Mai et Juin 2025</t>
  </si>
  <si>
    <t xml:space="preserve">Taxi: Direction Energie Electrique du congo-Bureau/ Paiement facture d'Electricité du mois de Mai et Juin 2025 </t>
  </si>
  <si>
    <t>Taxi:  Bureau- Cabinet maitre LOCKO/remis de chèque du mois de Juin 2025</t>
  </si>
  <si>
    <t>Taxi:  Cabinet maitre LOCKO - Domicile/remis de chèque du mois de Juin  2025</t>
  </si>
  <si>
    <t>Reglement prestation de nettoyage  PALF du mois de Juillet 2025</t>
  </si>
  <si>
    <t>Taxi: Bureau -Marché / Achat des Ampoules bureau PALF</t>
  </si>
  <si>
    <t>Taxi: Marché  - Bureau/ Achat de Ampoules bureau PALF</t>
  </si>
  <si>
    <t>Frais de notification affaire de merveille/ Maître OKEMBA NGABOMBA</t>
  </si>
  <si>
    <t>Taxi:Bureau- Direction Canal Box/ Paiement internet du mois de Juin 2025</t>
  </si>
  <si>
    <t>Taxi: Direction Canal Box-Bureau/ Paiement internet du mois de Juin 2025</t>
  </si>
  <si>
    <t>Reglement facture internet periode du 01/08 au 31/08/2025 bureau PALF</t>
  </si>
  <si>
    <t>Taxi:  Bureau- Direction MTN/Achat crédits  departement legal/ Romain; Roderlin et Abraham</t>
  </si>
  <si>
    <t>Taxi:   Direction MTN- Domicile/Achat crédits  departement Legal/Romain, Roderlin et Abraham</t>
  </si>
  <si>
    <t>P-JU-D1</t>
  </si>
  <si>
    <t>CA-JU-R1</t>
  </si>
  <si>
    <t>CA-JU-D1</t>
  </si>
  <si>
    <t>P-JU-R1</t>
  </si>
  <si>
    <t>CA-JU-R5</t>
  </si>
  <si>
    <t>CA-JU-R6</t>
  </si>
  <si>
    <t>CA-JU-R7</t>
  </si>
  <si>
    <t>CA-JU-R8</t>
  </si>
  <si>
    <t>CA-JU-R9</t>
  </si>
  <si>
    <t>CA-JU-R10</t>
  </si>
  <si>
    <t>CA-JU-R11</t>
  </si>
  <si>
    <t>CA-JU-R12</t>
  </si>
  <si>
    <t>CA-JU-R14</t>
  </si>
  <si>
    <t>Taxi:Bureau-Station SNPC Total/Achat carburant/Abraham</t>
  </si>
  <si>
    <t>Taxi:Station SNPC Total-Station X-oil Plateau Ville/Achat carburant/Abraham</t>
  </si>
  <si>
    <t>Taxi:Station X-oil Plateau Ville-Station SNPC Centre Ville/Achat carburant/Abraham</t>
  </si>
  <si>
    <t>Taxi:Station SNPC Ville-Station Total Matsoua/Achat carburant/Abraham</t>
  </si>
  <si>
    <t>Taxi:Station Total Matsoua-Station X-oil Patte d'oie/Achat carburant/Abraham</t>
  </si>
  <si>
    <t>Taxi: Station X-oil Patte d'oie-Bureau/Achat carburant/Abraham</t>
  </si>
  <si>
    <t>Credit teléphonique MTN PALF/ du 01 au 15 Août 2025/ Abraham</t>
  </si>
  <si>
    <t>AB-JU-D1</t>
  </si>
  <si>
    <t>CA-JU-R3</t>
  </si>
  <si>
    <t>CA-JU-R13</t>
  </si>
  <si>
    <t>AB-JU-R1</t>
  </si>
  <si>
    <t>COMPTA Roderlin-Juriste</t>
  </si>
  <si>
    <t>Taxi:Bureau-Centre ville pour la rencontrer maître Hélene</t>
  </si>
  <si>
    <t>Taxi:Centre ville-Bureau</t>
  </si>
  <si>
    <t xml:space="preserve">Taxi:Bureau-Cabinet BANZOUZI pour la rémise du chèque </t>
  </si>
  <si>
    <t>Taxi:Cabinet BANZOUZI-Domicile</t>
  </si>
  <si>
    <t>Achat eau mineral 10 Petite bouteille 0,6L/Bureau</t>
  </si>
  <si>
    <t>Taxi:Station marché total-Station rond-point moungali</t>
  </si>
  <si>
    <t>Taxi:Station rond point Moungali-Station 31 juillet Marché Moungali</t>
  </si>
  <si>
    <t>Taxi:Station marché moungali-Station 10 maisons</t>
  </si>
  <si>
    <t>Credit teléphonique MTN PALF du 01 au 15/Août 2025 /Roderlin</t>
  </si>
  <si>
    <t xml:space="preserve">Taxi:Bureau-TGI pour le suivi d'audience </t>
  </si>
  <si>
    <t>Taxii:TGI-Bureau</t>
  </si>
  <si>
    <t>RO-JU-D1</t>
  </si>
  <si>
    <t>CA-JU-R2</t>
  </si>
  <si>
    <t>CA-JU-R4</t>
  </si>
  <si>
    <t>RO-JU-R1</t>
  </si>
  <si>
    <t>Taxi Bureau-Agence trans Bony/ Reservation du billet</t>
  </si>
  <si>
    <t>Taxi agence Trans Bony-Domicile</t>
  </si>
  <si>
    <t>Taxi Domicile-Agence trans Bony/ Pour Owando</t>
  </si>
  <si>
    <t>Taxi Agence Trans Bony d'Owando-Hôtel case mbali</t>
  </si>
  <si>
    <t>Donald-Roméo CONGO Ration  du  23 au 25/07/2025 à Owando</t>
  </si>
  <si>
    <t>Taxi moto Hôtel Case Mbali-TGI</t>
  </si>
  <si>
    <t>Taxi moto TGI- Agence Trans Bony/ Reserver les billets retour</t>
  </si>
  <si>
    <t>Taxi moto Agence trans Bony- Hôtel Case Mbali</t>
  </si>
  <si>
    <t>Donald Roméo-CONGO Frais d'hôtel du  23 au 25/07/2025 à Owando (02 Nuitées)</t>
  </si>
  <si>
    <t xml:space="preserve">Taxi moto Hôtel Case mbali-Agens trans Bony </t>
  </si>
  <si>
    <t>Taxi bureau-Section de Recherches</t>
  </si>
  <si>
    <t>Taxi Section de Recherches-bureau</t>
  </si>
  <si>
    <t>DR-JU-R1</t>
  </si>
  <si>
    <t>DR-JU-D2</t>
  </si>
  <si>
    <t>DR-JU-R2</t>
  </si>
  <si>
    <t>DR-JU-D1</t>
  </si>
  <si>
    <t>DR-JU-R3</t>
  </si>
  <si>
    <t>DR-JU-R4</t>
  </si>
  <si>
    <t>Taxi, Bureau PALF-CNSS</t>
  </si>
  <si>
    <t>Taxi, Bureau PALF-Les Dépêches de Brazzaville</t>
  </si>
  <si>
    <t>Taxi, Les Dépêches de Brazzaville-Radio Citoyenne des Jeunes</t>
  </si>
  <si>
    <t>Bonus media portant sur la condamnation ferme de 03 trafiquants de produits de la faune le 26 Juin 2025 à Impfondo presse Radio citoyenne des jeunes</t>
  </si>
  <si>
    <t>Taxi, groupecongomedias.com-panoramik-atu.com</t>
  </si>
  <si>
    <t>Taxi, panoramik-actu.com-tribune-eco.com</t>
  </si>
  <si>
    <t>Taxi, tribune-eco.com-firstmediac.com</t>
  </si>
  <si>
    <t>Taxi, firstmediac.com-lesechos-congobrazza.com</t>
  </si>
  <si>
    <t>Taxi, lesechos-congobrazza.com-Agence Congolaise de l'Information</t>
  </si>
  <si>
    <t>Taxi, Agence Congolaise de l'Information-opinionpublique.cg</t>
  </si>
  <si>
    <t>Taxi, opinionpublique.cg-Bureau PALF</t>
  </si>
  <si>
    <t>EV-JU-D1</t>
  </si>
  <si>
    <t>CA-JU-D2</t>
  </si>
  <si>
    <t>CA-JU-D3</t>
  </si>
  <si>
    <t>CA-JU-D4</t>
  </si>
  <si>
    <t>Taxi: Bureau-marché Total/ à la rencontre de maître Hélène</t>
  </si>
  <si>
    <t>Taxi: Marché Total-Domicile</t>
  </si>
  <si>
    <t>RM-JU-D1</t>
  </si>
  <si>
    <t>RM-JU-R1</t>
  </si>
  <si>
    <t xml:space="preserve">Office </t>
  </si>
  <si>
    <t>Solde  honoraire contrat n°84 Impfondo cas MBEKELE ET CONSORTS/ Maître BANZOUZI Alain/3654886</t>
  </si>
  <si>
    <t>BQ-JU-R1</t>
  </si>
  <si>
    <t>Solde honoraire contrat N°49_Brazzaville cas BIHONDA Jean-LeBOUCK/Maitre Marie Hélène NANITELAMIO MALONGA/ 3654887</t>
  </si>
  <si>
    <t>BQ-JU-R2</t>
  </si>
  <si>
    <t>Reglement Facture Gardiennage Mois de Juin 2025/3654888</t>
  </si>
  <si>
    <t>BQ-JU-R3</t>
  </si>
  <si>
    <t>BQ-JU-R4</t>
  </si>
  <si>
    <t>RAPATRIEME01100 RAO00010859/OAT</t>
  </si>
  <si>
    <t>BQ-JU-G1</t>
  </si>
  <si>
    <t>Reglement honoraire du mois de de Juin 2025/P29/36548890</t>
  </si>
  <si>
    <t>BQ-JU-R5</t>
  </si>
  <si>
    <t>Reglement honoraire du mois de Juin 2025/T73/3654892</t>
  </si>
  <si>
    <t>BQ-JU-R6</t>
  </si>
  <si>
    <t>Reglement honoraire du mois de Juin 2025/IT87/3654895</t>
  </si>
  <si>
    <t>BQ-JU-R7</t>
  </si>
  <si>
    <t>Reglement honoraire du mois de Juin 2025/G12/3654894</t>
  </si>
  <si>
    <t>BQ-JU-R8</t>
  </si>
  <si>
    <t>BQ-JU-R9</t>
  </si>
  <si>
    <t>BQ-JU-R10</t>
  </si>
  <si>
    <t>Paiement salaire du mois de Juin 2025/Crepin IBOUILI-IBOUILI</t>
  </si>
  <si>
    <t>BQ-JU-R11</t>
  </si>
  <si>
    <t>Paiement salaire du mois de Juin 2025/PINDI BINGA Donald- Roméo</t>
  </si>
  <si>
    <t>BQ-JU-R12</t>
  </si>
  <si>
    <t>Paiement salaire du mois de  Juin 2025/Evariste LELOUSSI</t>
  </si>
  <si>
    <t>BQ-JU-R13</t>
  </si>
  <si>
    <t>BQ-JU-R14</t>
  </si>
  <si>
    <t>BQ-JU-R15</t>
  </si>
  <si>
    <t>Frais de virement des salaire du mois Juillet 2025</t>
  </si>
  <si>
    <t>BQ-JU-R16</t>
  </si>
  <si>
    <t>BQ-JU-R17</t>
  </si>
  <si>
    <t>Paiement CNSS deuxième trimestre/Avril, Mai et Juin 2025/Crepin /3654899</t>
  </si>
  <si>
    <t>BQ-JU-R18</t>
  </si>
  <si>
    <t>Paiement CNSS deuxième trimestre/Avril, Mai et Juin 2025/Donald-Roméo/3654899</t>
  </si>
  <si>
    <t>BQ-JU-R19</t>
  </si>
  <si>
    <t>Paiement CNSS deuxième trimestre/Avril, Mai et Juin 2025/Romain/3654899</t>
  </si>
  <si>
    <t>BQ-JU-R20</t>
  </si>
  <si>
    <t>Paiement CNSS deuxième trimestre/Avril, Mai et Juin 2025/Roderlin/3654899</t>
  </si>
  <si>
    <t>BQ-JU-R21</t>
  </si>
  <si>
    <t>Paiement CNSS deuxième trimestre/Avril, Mai et Juin 2025/Abraham/3654899</t>
  </si>
  <si>
    <t>BQ-JU-R22</t>
  </si>
  <si>
    <t>Paiement CNSS deuxième trimestre/Avril, Mai et Juin 2025/Parfaite/3654899</t>
  </si>
  <si>
    <t>BQ-JU-R23</t>
  </si>
  <si>
    <t>Paiement CNSS deuxième trimestre/Avril, Mai et Juin 2025/Evariste/3654899</t>
  </si>
  <si>
    <t>BQ-JU-R24</t>
  </si>
  <si>
    <t>RAPATRIEME01100 RAO00010768/Fondation Elonga</t>
  </si>
  <si>
    <t>Paiement salaire du mois de Juillet 2025/BAVOUMINA NZOUSSI Dina Parfaite/3654406</t>
  </si>
  <si>
    <t>BQ-JU-R26</t>
  </si>
  <si>
    <t>Paiement salaire du mois de Juillet 2025/FOUMBA Roderlin/3654404</t>
  </si>
  <si>
    <t>BQ-JU-R27</t>
  </si>
  <si>
    <t>Paiement salaire du mois de Juillet 2025/BOUNGOU MAKOSSO Abraham/3654403</t>
  </si>
  <si>
    <t>BQ-JU-R28</t>
  </si>
  <si>
    <t>Paiement salaire du mois de Juillet 2025/Crepin IBOUILI-IBOUILI</t>
  </si>
  <si>
    <t>BQ-JU-R29</t>
  </si>
  <si>
    <t>Paiement salaire du mois de Juillet 2025/PINDI BINGA Donald- Roméo</t>
  </si>
  <si>
    <t>BQ-JU-R30</t>
  </si>
  <si>
    <t>Paiement salaire du mois de  Juillet 2025/Evariste LELOUSSI</t>
  </si>
  <si>
    <t>BQ-JU-R31</t>
  </si>
  <si>
    <t>Paiement salaire du mois de Juillet 2025/LOUNDOU JeanRomain/3654405</t>
  </si>
  <si>
    <t>BQ-JU-R32</t>
  </si>
  <si>
    <t>Frais de virement des salaire du mois Juin 2025</t>
  </si>
  <si>
    <t>BQ-JU-R33</t>
  </si>
  <si>
    <t>Solde honoraire contrat N°76_Owando cas EBI Aimé brichly/Maitre Marie Hélène NANITELAMIO MALONGA/ 3654408</t>
  </si>
  <si>
    <t>BQ-JU-R34</t>
  </si>
  <si>
    <t>Reglement honoraire du mois de de Juin 2025/P29/3654409</t>
  </si>
  <si>
    <t>BQ-JU-R35</t>
  </si>
  <si>
    <t>Reglement honoraire du mois de Juin 2025/T73/3654410</t>
  </si>
  <si>
    <t>BQ-JU-R36</t>
  </si>
  <si>
    <t>BQ-JU-G2</t>
  </si>
  <si>
    <t>ELONGA</t>
  </si>
  <si>
    <t>févr</t>
  </si>
  <si>
    <t>mars</t>
  </si>
  <si>
    <t>avr</t>
  </si>
  <si>
    <t>mai</t>
  </si>
  <si>
    <t>juin</t>
  </si>
  <si>
    <t>janv</t>
  </si>
  <si>
    <t>juil</t>
  </si>
  <si>
    <t>Credit teléphonique MTN PALF/ du 16 au 31 Juillet 2025/ DOVI</t>
  </si>
  <si>
    <t>DH-JU-R2</t>
  </si>
  <si>
    <t>Credit teléphonique MTN PALF/du 01au 08 Août  2025/Romain</t>
  </si>
  <si>
    <t xml:space="preserve"> Frais de prestation de nettoyage du jardin PALF/ Juin 2025</t>
  </si>
  <si>
    <t>Remboursement frais de certificat d'Hébergement(Valentina et Martina) du 27/06/2025</t>
  </si>
  <si>
    <t>Credit téléphonique MTN PALF/ du 16 au 31 Juillet 2025/ Parfaite</t>
  </si>
  <si>
    <t>Frais de transfert d'argent à  Donald-Roméo</t>
  </si>
  <si>
    <t>Réglement facture électricité de la période Mai-Juin 2025/bureau PALF</t>
  </si>
  <si>
    <t xml:space="preserve"> Frais de prestation de nettoyage du jardin PALF Juillet 2025</t>
  </si>
  <si>
    <t>Frais de ramassage d' ordures Juillet 2025</t>
  </si>
  <si>
    <t>Achat de 05 ampoules à crochet</t>
  </si>
  <si>
    <t>Bonus média portant sur la condamnation ferme de 03 trafiquants de produits de la faune le 26 Juin 2025 à Impfondo pièces presse Internet</t>
  </si>
  <si>
    <t>Bonus média portant sur la condamnation ferme de 03 trafiquants de produits de la faune le 26 Juin 2025 à Impfondo pièces presse papier(les depêches de brazzaville, l'horizon africain, l'agence congolaise de l'information</t>
  </si>
  <si>
    <t>Credit téléphonique MTN PALF/du 22 au 31 Juillet 2025/Donald-Roméo</t>
  </si>
  <si>
    <t>Taxi: Domicile-Bureau pour signature des pièces comptables/crépin</t>
  </si>
  <si>
    <t>Paiement salaire du mois de Juin 2025/FOUMBA Roderlin/3654900</t>
  </si>
  <si>
    <t>Paiement salaire du mois de Juin 2025/BAVOUMINA NZOUSSI Dina Parfaite/365897</t>
  </si>
  <si>
    <t>Paiement salaire du mois de Juin 2025/BOUNGOU MAKOSSO Abraham/3654896</t>
  </si>
  <si>
    <t>Paiement salaire du  01 au 18 Juin 2025/Homéfa DOVI/3654898</t>
  </si>
  <si>
    <t>Paiement salaire du 19 au 30 Juin 2025/Homéfa DOVI/3654898</t>
  </si>
  <si>
    <t>Achat de 10 ampoule à crochet</t>
  </si>
  <si>
    <t>CA-AU-R1</t>
  </si>
  <si>
    <t>Frais de tansfert d'argent à crépin, Donald-Roméo, Evariste, P29 et T73</t>
  </si>
  <si>
    <t>CA-AU-R2</t>
  </si>
  <si>
    <t>Reglement assurance retraite Coordinateur periode Janvier-Février- Mars- Avril-Mai - Juin 2025</t>
  </si>
  <si>
    <t>CA-AU-R3</t>
  </si>
  <si>
    <t>Frais de notification contrat Romain</t>
  </si>
  <si>
    <t>CA-AU-R4</t>
  </si>
  <si>
    <t>CA-AU-R5</t>
  </si>
  <si>
    <t>Frais de tansfert d'argent à G12 et IT87</t>
  </si>
  <si>
    <t>CA-AU-R6</t>
  </si>
  <si>
    <t>Achat carburant groupe electrogène Bureau et le frais de recharge</t>
  </si>
  <si>
    <t>CA-AU-R7</t>
  </si>
  <si>
    <t>Frais de tansfert d'argent à crépin, Donald-Roméo, Evariste et P29</t>
  </si>
  <si>
    <t>CA-AU-R8</t>
  </si>
  <si>
    <t>Achat chaise  bureau PALF</t>
  </si>
  <si>
    <t>CA-AU-R9</t>
  </si>
  <si>
    <t>Frais de reparation chaise bureau PALF</t>
  </si>
  <si>
    <t>CA-AU-R10</t>
  </si>
  <si>
    <t>Frais de tansfert d'argent à T73 et P29</t>
  </si>
  <si>
    <t>CA-AU-R11</t>
  </si>
  <si>
    <t>CA-AU-D1</t>
  </si>
  <si>
    <t>CA-AU-D2</t>
  </si>
  <si>
    <t>CA-AU-D3</t>
  </si>
  <si>
    <t>Frais de tansfert d'argent à Evariste</t>
  </si>
  <si>
    <t>CA-AU-R12</t>
  </si>
  <si>
    <t>Achat eau mineral 10 LITRES/Bureau</t>
  </si>
  <si>
    <t>CA-AU-R13</t>
  </si>
  <si>
    <t>Frais de transport mission Maitre Alain à Impfondo du 28 /08au 01/09/2025</t>
  </si>
  <si>
    <t>CA-AU-R14</t>
  </si>
  <si>
    <t>Ration et frais d'hotel mission maitre Alain à Impfondo du 28/08 au 01/09/2025</t>
  </si>
  <si>
    <t>CA-AU-R15</t>
  </si>
  <si>
    <t xml:space="preserve"> Frais de prestation de nettoyage jardin PALF Août 2025</t>
  </si>
  <si>
    <t>CA-AU-R16</t>
  </si>
  <si>
    <t>Reglement prestation de nettoyage  PALF du mois de Août 2025</t>
  </si>
  <si>
    <t>CA-AU-R17</t>
  </si>
  <si>
    <t xml:space="preserve">Frais de tansfert d'argent à crépin, Donald-Roméo et Evariste </t>
  </si>
  <si>
    <t>CA-AU-R18</t>
  </si>
  <si>
    <t>Frais de ramassage Ordure d'Août 2025</t>
  </si>
  <si>
    <t>CA-AU-R19</t>
  </si>
  <si>
    <t>Reglement facture internet periode du 01/09 au 30/09/2025 bureau PALF</t>
  </si>
  <si>
    <t>CA-AU-R20</t>
  </si>
  <si>
    <t>CA-AU-D4</t>
  </si>
  <si>
    <t>CA-AU-R21</t>
  </si>
  <si>
    <t>Maison - Bureau</t>
  </si>
  <si>
    <t>Bureau -Maison</t>
  </si>
  <si>
    <t>Règlement loyer Juillet 2025/Coordinateur</t>
  </si>
  <si>
    <t>Credit telephonique MTN/PALF/ du 18 au 31 Aout 2025/DOVI</t>
  </si>
  <si>
    <t>Billet: Brazzaville-Impfondo</t>
  </si>
  <si>
    <t>Taxi: Mfilou Camp Militaire-Agence Océan du Nord Talangai</t>
  </si>
  <si>
    <t>Taxi moto: Agence Océan du Nord Oyo-Hôtel Saint Bénoit</t>
  </si>
  <si>
    <t>CREPIN-CONGO Ration du 14/08 au 02/09/2025 à  Impfondo</t>
  </si>
  <si>
    <t>Travel subsistence</t>
  </si>
  <si>
    <t>CREPIN-CONGO-Frais d'hôtel du 14 au 15/08/2025 à Oyo (01 Nuitée)</t>
  </si>
  <si>
    <t>Taxi moto: Hôtel Saint Bénoit-Agence Océan</t>
  </si>
  <si>
    <t>Taxi moto: Agence Océan Enyéllé-Hôtel La Paulina</t>
  </si>
  <si>
    <t>Credit telephonique MTN PALF/du 14 au 17 Août 2025</t>
  </si>
  <si>
    <t>CREPIN-CONGO-Frais d'hôtel  du 15 au 16/08/2025 à Enyellé (01 Nuitée)</t>
  </si>
  <si>
    <t>Taxi moto: Hôtel Polina-Agence Océan du nord</t>
  </si>
  <si>
    <t>Taxi moto: Agence Océan d'Impfondo-Hôtel Mithé</t>
  </si>
  <si>
    <t>Credit telephonique MTN PALF/ du 18 au 31 Août 2025</t>
  </si>
  <si>
    <t>Credit telephonique Airtel PALF/ du 18 au 31 Août 2025</t>
  </si>
  <si>
    <t>Taxi moto: Hôtel Mithé-DDEF pour rencontre avec le DD par intérim</t>
  </si>
  <si>
    <t>Taxi moto: DDEF-Parquet pour rencontre avec le Procureur.</t>
  </si>
  <si>
    <t>Taxi moto: Gendarmerie-Hôtel Mithé</t>
  </si>
  <si>
    <t>Taxi moto: Hôtel Mithé-Hôtel Tropicana pour repérage</t>
  </si>
  <si>
    <t>Taxi moto: Environs Hôtel Tropicana-DDEF pour la lettre de sollicitude de concours de la gendarmerie</t>
  </si>
  <si>
    <t>Taxi moto: DDEF-Gendarmerie pour dépôt de la demande de concours</t>
  </si>
  <si>
    <t>CREPIN-CONGO Frais d'hôtel du 16 au 23/08/2025 à Impfondo (07 Nuitées)</t>
  </si>
  <si>
    <t>Taxi moto: Hôtel Mithé-Hôtel Tropicana pour occupation de la chambre pour opération</t>
  </si>
  <si>
    <t>Taxi moto: Hôtel Tropicana-Hôtel Mithé pour briefing équipe PALF.</t>
  </si>
  <si>
    <t>Taxi moto: Hôtel Mithé-Hôtel Tropicana</t>
  </si>
  <si>
    <t>Taxi moto: Hôtel Tropicana-Gendarmerie pour briefing autorités</t>
  </si>
  <si>
    <t>05 Taxis motos pour 04 gendarmes et moi: Gendarmerie-Hôtel Tropicana pour positionnement</t>
  </si>
  <si>
    <t>Raffraichissements pendant l'attente de l'opération avec 04 gendarmes en civli</t>
  </si>
  <si>
    <t>Operation</t>
  </si>
  <si>
    <t>Taxi moto: Hôtel Mithé-Gendarmerie</t>
  </si>
  <si>
    <t>Bonus pour 16 gendarmes ayant participé à l'opération</t>
  </si>
  <si>
    <t>Bonus pour 02 EF ayant participé à l'opération</t>
  </si>
  <si>
    <t>Taxi moto: Gendarmerie-Hôtel</t>
  </si>
  <si>
    <t>Taxi moto: Hôtel-Gendarmerie</t>
  </si>
  <si>
    <t>Taxi moto: Hôtel-Parquet</t>
  </si>
  <si>
    <t>Taxi moto: Parquet-Hôtel</t>
  </si>
  <si>
    <t>CR-AU-R1</t>
  </si>
  <si>
    <t>CR-AU-D1</t>
  </si>
  <si>
    <t>CR-AU-D2</t>
  </si>
  <si>
    <t>DH-AU-D1</t>
  </si>
  <si>
    <t>DH-AU-R1</t>
  </si>
  <si>
    <t>DH-AU-R2</t>
  </si>
  <si>
    <t>Taxi:  Bureau-Banque BCI/ Retrait relevé de compte bancaire du mois de Juillet 2025</t>
  </si>
  <si>
    <t>Taxi:  Banque BCI - Bureau/ Retrait relevé de compte bancaire du mois de Juillet 2025</t>
  </si>
  <si>
    <t>Taxi:  Bureau-Banque BCI/ Vérification des fonds dans le compte bancaire PALF</t>
  </si>
  <si>
    <t>Taxi:  Banque BCI - Bureau/Verification des fonds dans le compte bancaire PALF</t>
  </si>
  <si>
    <t>Taxi:  Bureau- Société de gardiennage/remis de chèque du mois de Juillet 2025</t>
  </si>
  <si>
    <t>Taxi:  Societé de gardiennage  - Bureau/remis de chèque du mois de Juillet 2025</t>
  </si>
  <si>
    <t>Taxi:  Bureau- Direction MTN/Achat crédits  departement Investigation</t>
  </si>
  <si>
    <t>Taxi:   Direction MTN- Domicile/Achat crédits  departement Investigation</t>
  </si>
  <si>
    <t>Taxi:  Bureau-Banque BCI/ Appro caisse PALF</t>
  </si>
  <si>
    <t>Taxi:  Banque BCI - Bureau/Appro caisse  PALF</t>
  </si>
  <si>
    <t>Taxi: Bureau -Marché Moungali/ Achat des Ampoules bureau PALF</t>
  </si>
  <si>
    <t>Taxi: Marché Moungali - Bureau/ Achat de Ampoules bureau PALF</t>
  </si>
  <si>
    <t>Taxi:  Domicile- Direction MTN/Achat crédits  pour les agents en mission d'Impfondo</t>
  </si>
  <si>
    <t>Taxi:   Direction MTN- Domicile/Achat crédits Achat crédits pour les agents en mission d'Impfondo</t>
  </si>
  <si>
    <t>Taxi:  Bureau-Banque BCI/ Aprro caisse</t>
  </si>
  <si>
    <t>Taxi:  Banque- Direction MTN/Achat credit de l'equipe PALF</t>
  </si>
  <si>
    <t>Taxi:   Direction MTN- Bureau/Achat credit de l'equipe PALF</t>
  </si>
  <si>
    <t>Credit teléphonique MTN PALF/ du 18 au 31 Août 2025/ Parfaite</t>
  </si>
  <si>
    <t>Taxi:  Bureau- Cabinet d'avocat/Depot  de notification de suspension contat Mervielle</t>
  </si>
  <si>
    <t>Taxi:  Cabinet d'Avocat - Banque/Paiement frais de notification contrat romain ACPE</t>
  </si>
  <si>
    <t xml:space="preserve">Taxi:  Banque-Bureau /Paiement frais de notification contrat romain ACPE </t>
  </si>
  <si>
    <t>Taxi: Bureau - Super Marché / Achat produit d'entretien  bureau PALF</t>
  </si>
  <si>
    <t>Taxi: Super Marché  - Bureau/ Achat produit d'entretien  bureau PALF</t>
  </si>
  <si>
    <t>Taxi: Bureau - Charden Farell/transfert d'argent à G12 et IT87</t>
  </si>
  <si>
    <t>Taxi: Charden Farell- Bureau/transferft d'argent</t>
  </si>
  <si>
    <t>Taxi:  Bureau-Banque BCI/Appro caisse</t>
  </si>
  <si>
    <t xml:space="preserve">Taxi: Banque BCI- Charden farell/ transfert d'argent </t>
  </si>
  <si>
    <t>Taxi: Charden Farell- Bureau/ Transfert d'argent</t>
  </si>
  <si>
    <t>Taxi: Bureau - Charden Farell/ verification des fonds envoyer a impfondo</t>
  </si>
  <si>
    <t>Taxi: Charden Farell- Bureau/verification de fond envoyer à Impfondo</t>
  </si>
  <si>
    <t>Taxi:  Bureau-Banque BCI/ Dépôt ordre de virement salaire du mois d'Août 2025</t>
  </si>
  <si>
    <t>Taxi:  Banque BCI - Direction MTN /Transfert d'argent à P29 et T73</t>
  </si>
  <si>
    <t xml:space="preserve">Taxi: Direction MTN-Bureau/ </t>
  </si>
  <si>
    <t>Taxi: Bureau - Charden Farell/transfert d'argent à Crépin , Evariste et Donald-Roméo</t>
  </si>
  <si>
    <t>Taxi:Bureau- Direction Canal Box/ Paiement internet du mois deSeptembre2025</t>
  </si>
  <si>
    <t>Taxi: Direction Canal Box-Bureau/ Paiement internet du mois de Septembre 2025</t>
  </si>
  <si>
    <t>P-AU-D1</t>
  </si>
  <si>
    <t>P-AU-R1</t>
  </si>
  <si>
    <t>Taxi domicile-agence,départ mission</t>
  </si>
  <si>
    <t>Credit telephonique MTN PALF/ du 07 au 10 Août 2025/ Investigation/P29</t>
  </si>
  <si>
    <t>investigation</t>
  </si>
  <si>
    <t>Achat boisson à un cible</t>
  </si>
  <si>
    <t>Credit telephonique MTN PALF/ du 18 au 31 Août 2025/ Investigation/P29</t>
  </si>
  <si>
    <t>Credit telephonique Airtel PALF/ du18 au 31 Août 2025/ Investigation/P29</t>
  </si>
  <si>
    <t>P29-AU-R1</t>
  </si>
  <si>
    <t>P29-AU-D1</t>
  </si>
  <si>
    <t>P29-AU-D2</t>
  </si>
  <si>
    <t>P29-AU-R2</t>
  </si>
  <si>
    <t>P29-AU-D3</t>
  </si>
  <si>
    <t>P29-AU-R3</t>
  </si>
  <si>
    <t>P29-AU-R4</t>
  </si>
  <si>
    <t>P29-AU-R5</t>
  </si>
  <si>
    <t>P29-AU-R6</t>
  </si>
  <si>
    <t>P29-AU-R7</t>
  </si>
  <si>
    <t>P29-AU-R8</t>
  </si>
  <si>
    <t>P29-AU-R9</t>
  </si>
  <si>
    <t>P29-AU-R10</t>
  </si>
  <si>
    <t>P29-AU-R11</t>
  </si>
  <si>
    <t>P29-AU-R12</t>
  </si>
  <si>
    <t>P29-AU-R13</t>
  </si>
  <si>
    <t>Credit telephonique MTN PALF/ du 07 au 10 Août 2025/ Investigation/T73</t>
  </si>
  <si>
    <t>Reçu caisse/T73</t>
  </si>
  <si>
    <t>achat boisson ( une cible)</t>
  </si>
  <si>
    <t>Credit telephonique MTN PALF/ du 14 au 17 Août 2025/ Investigation/T73</t>
  </si>
  <si>
    <t>Taxi moto : hotel mithe - KB fils  (reunion avec l'équipe)</t>
  </si>
  <si>
    <t>T73-AU-R1</t>
  </si>
  <si>
    <t>T73-AU-D1</t>
  </si>
  <si>
    <t>T73-AU-D2</t>
  </si>
  <si>
    <t>T73-AU-R2</t>
  </si>
  <si>
    <t>T73-AU-D3</t>
  </si>
  <si>
    <t>T73-AU-R3</t>
  </si>
  <si>
    <t>T73-AU-R4</t>
  </si>
  <si>
    <t>T73-AU-R5</t>
  </si>
  <si>
    <t>T73-AU-R6</t>
  </si>
  <si>
    <t>T73-AU-R7</t>
  </si>
  <si>
    <t>T73-AU-R8</t>
  </si>
  <si>
    <t>T73-AU-R9</t>
  </si>
  <si>
    <t>T73-AU-R10</t>
  </si>
  <si>
    <t>T73-AU-R11</t>
  </si>
  <si>
    <t>Credit telephonique MTN PALF/du 07au 10 Aout 2025/IT87</t>
  </si>
  <si>
    <t>Taxi : Bureau - Diata/ Prospection</t>
  </si>
  <si>
    <t>Taxi : Diata - Bifouiti/ Rencontre avec la cible</t>
  </si>
  <si>
    <t>Taxi : Bifouiti - Domicile/ Retour de prospection</t>
  </si>
  <si>
    <t>Taxi : Bureau - Marché Diata/ Prospection</t>
  </si>
  <si>
    <t>Taxi : Marché Diata - Av de la paix/ prospection</t>
  </si>
  <si>
    <t>Reçu de caisse/ IT87</t>
  </si>
  <si>
    <t>Credit telephonique MTN PALF/du 18au 31 Aout 2025/IT87</t>
  </si>
  <si>
    <t>Taxi moto : Hôtel - Marché/ Prospection</t>
  </si>
  <si>
    <t>Achat boissons avec une cible</t>
  </si>
  <si>
    <t>Taxi moto : Centre ville - Charden Farel/ Retrait budget</t>
  </si>
  <si>
    <t>Taxi moto : Avenue de l'entente - Hôtel/ Retour de prospection</t>
  </si>
  <si>
    <t>Achat snacks avec la cible</t>
  </si>
  <si>
    <t>Taxi : PK - Kinsoundi/ Prospection</t>
  </si>
  <si>
    <t>Taxi : Kinsoundi - Domicile/ Retour de prospection</t>
  </si>
  <si>
    <t>IT87-AU-R1</t>
  </si>
  <si>
    <t>IT87-AU-D1</t>
  </si>
  <si>
    <t>IT87-AU-R2</t>
  </si>
  <si>
    <t>IT87-AU-R3</t>
  </si>
  <si>
    <t>IT87-AU-D2</t>
  </si>
  <si>
    <t>IT87-AU-R4</t>
  </si>
  <si>
    <t>IT87-AU-D3</t>
  </si>
  <si>
    <t>IT87-AU-R5</t>
  </si>
  <si>
    <t>IT87-AU-R6</t>
  </si>
  <si>
    <t>IT87-AU-R7</t>
  </si>
  <si>
    <t>IT87-AU-R8</t>
  </si>
  <si>
    <t>IT87-AU-R9</t>
  </si>
  <si>
    <t>IT87-AU-R10</t>
  </si>
  <si>
    <t>Credit telephonique MTN PALF/du 07au 10 Aout 2025/G12</t>
  </si>
  <si>
    <t>Taxi: Bureau- mikalou /prospection</t>
  </si>
  <si>
    <t>Taxi :Mikalou - domicile</t>
  </si>
  <si>
    <t>Taxi : Bureau - marché bifouiti , prospection</t>
  </si>
  <si>
    <t>Taxi: marché bifouiti- marché bouro /prospection</t>
  </si>
  <si>
    <t>Taxi: marché bouro - quartier comission /prospection</t>
  </si>
  <si>
    <t>Taxi: Quartier comission- domicile</t>
  </si>
  <si>
    <t>Taxi : Domicile - nganga lingolo, prospection à brazzaville</t>
  </si>
  <si>
    <t>Taxi : Nganga lingolo- total / prospection</t>
  </si>
  <si>
    <t>Taxi: Total- domicile</t>
  </si>
  <si>
    <t>Reçu de caisse/G12</t>
  </si>
  <si>
    <t>Credit telephonique MTN PALF/du 18 au 31 Aout 2025/G12</t>
  </si>
  <si>
    <t>Credit telephonique Airtel PALF/du 18 au 31 Aout 2025/G12</t>
  </si>
  <si>
    <t>Taxi: Domicile- agence</t>
  </si>
  <si>
    <t>Taxi: Agence - hotel</t>
  </si>
  <si>
    <t>Taxi: Charden farell- marché oui</t>
  </si>
  <si>
    <t>Achat boisson 1 cible</t>
  </si>
  <si>
    <t xml:space="preserve"> Taxi:Marché oui - hotel</t>
  </si>
  <si>
    <t>Taxi:Hotel - rafinerie</t>
  </si>
  <si>
    <t>Taxi:Rafinerie - ngoyo</t>
  </si>
  <si>
    <t>Taxi: Ngoyo - hotel</t>
  </si>
  <si>
    <t>Taxi: Hotel -gare routière</t>
  </si>
  <si>
    <t>Taxi : gare routière - zone de l'hopital</t>
  </si>
  <si>
    <t>Taxi : Hopital- marché</t>
  </si>
  <si>
    <t xml:space="preserve">Taxi: Marché - gare routière </t>
  </si>
  <si>
    <t>Taxi: gare routière - hotel</t>
  </si>
  <si>
    <t>Taxi :Hotel - gare routière</t>
  </si>
  <si>
    <t>Taxi:Gare routière - zone de la préfecture</t>
  </si>
  <si>
    <t>Taxi:Zone de préfecture - marché</t>
  </si>
  <si>
    <t>Taxi : Marché -gare routière</t>
  </si>
  <si>
    <t>Taxi: Gare routière -agence trans bony</t>
  </si>
  <si>
    <t>Taxi : Agence - hotel</t>
  </si>
  <si>
    <t xml:space="preserve">Taxi: Agence - domicile     </t>
  </si>
  <si>
    <t>Taxi:Macrché tagoma - 5 chemin / prospection</t>
  </si>
  <si>
    <t>Taxi:5 chemin - matour / prospection</t>
  </si>
  <si>
    <t>Taxi: Matour: domicile</t>
  </si>
  <si>
    <t>G12-AU-R1</t>
  </si>
  <si>
    <t>G12-AU-D1</t>
  </si>
  <si>
    <t>G12-AU-R2</t>
  </si>
  <si>
    <t>G12-AU-R3</t>
  </si>
  <si>
    <t>G12-AU-R4</t>
  </si>
  <si>
    <t>G12-AU-D2</t>
  </si>
  <si>
    <t>G12-AU-D3</t>
  </si>
  <si>
    <t>G12-AU-R5</t>
  </si>
  <si>
    <t>G12-AU-R6</t>
  </si>
  <si>
    <t>G12-AU-R7</t>
  </si>
  <si>
    <t>G12-AU-R8</t>
  </si>
  <si>
    <t>G12-AU-R9</t>
  </si>
  <si>
    <t>G12-AU-R10</t>
  </si>
  <si>
    <t>Taxi: Bureau- Agence Charden Farell/ Transfert d'argent</t>
  </si>
  <si>
    <t>Taxi: Agence Charden Farell-Bureau/Transfert d'argent</t>
  </si>
  <si>
    <t>Credit telephonique MTN PALF/ du 18 au 31 Août 2025/Abraham</t>
  </si>
  <si>
    <t>Credit telephonique Airtel PALF/ du 18 au 31 Août 2025/Abraham</t>
  </si>
  <si>
    <t>Achat billet Brazzaville-Dolisie (Au nom de LOUNDOU Jean Romain)</t>
  </si>
  <si>
    <t>ABRAHAM - CONGO Ration du 20 au 22/08/2025 à Dolisie (02 Nuitées)</t>
  </si>
  <si>
    <t>Taxi:Domicile-Agence Tranbony de La frontière/ Prendre le depart pour Dolisie</t>
  </si>
  <si>
    <t>Taxi:Agence Transbony de Dolisie-Auberge Moukondo</t>
  </si>
  <si>
    <t>Taxi:Auberge Moukondo-Maison d'arrêt de Dolisie</t>
  </si>
  <si>
    <t>Ration/ Soir 5 détenus à la maison d'arrêt de Dolisie/ détenus visités: MBOUNGOU Dropsy, KISSAMBOU Yvon, PAMBOU Alain, BALENDA Jean Jacques, IVOUVOU</t>
  </si>
  <si>
    <t>Taxi:Maison d'arrêt de Dolisie-Auberge Moukondo</t>
  </si>
  <si>
    <t>Taxi: Auberge Moukondo-Maison d'arrêt de Dolisie</t>
  </si>
  <si>
    <t>Ration/matin 5 détenus à la maison d'arrêt de Dolisie/ détenus visités: MBOUNGOU Dropsy, KISSAMBOU Yvon, PAMBOU Alain, BALENDA Jean Jacques, IVOUVOU</t>
  </si>
  <si>
    <t>Ration/soir 5 détenus à la maison d'arrêt de Dolisie/ détenus visités: MBOUNGOU Dropsy, KISSAMBOU Yvon, PAMBOU Alain, BALENDA Jean Jacques, IVOUVOU</t>
  </si>
  <si>
    <t>Taxi:Maison d'arrêt de Dolisie-Agence Transbony de Dolisie/Achat billet Dolisie-Brazzaville</t>
  </si>
  <si>
    <t>ABRAHAM - CONGO frais d'Hôtel du 20 au 22/08/2025 à Dolisie (02 Nuitées)</t>
  </si>
  <si>
    <t>Taxi:Auberge Moukondo-Agence Transbony Dolisie</t>
  </si>
  <si>
    <t>Taxi:Agence Transbony Moungali-Domicile</t>
  </si>
  <si>
    <t>Taxi: Bureau-Charden Farel/Transfert des fonds</t>
  </si>
  <si>
    <t>Taxi: Charden-Farel Bureau</t>
  </si>
  <si>
    <t>AB-AU-D1</t>
  </si>
  <si>
    <t>AB-AU-R1</t>
  </si>
  <si>
    <t>AB-AU-R2</t>
  </si>
  <si>
    <t>AB-AU-R3</t>
  </si>
  <si>
    <t>AB-AU-D2</t>
  </si>
  <si>
    <t>AB-AU-D3</t>
  </si>
  <si>
    <t>AB-AU-R4</t>
  </si>
  <si>
    <t>AB-AU-R5</t>
  </si>
  <si>
    <t>Taxi:Bureau-Agence Trans bony de la frontiere pour la réservation du billet</t>
  </si>
  <si>
    <t xml:space="preserve"> Achat billet Brazzaville-Loudima/ Roderlin</t>
  </si>
  <si>
    <t>Taxi:Agence trans bony de la frontiere-Bureau</t>
  </si>
  <si>
    <t>Credit telephonique MTN PALF/du 18 au 31 Août 2025/Roderlin</t>
  </si>
  <si>
    <t>Taxi:Domicile-Agence Trans bony de kintélé</t>
  </si>
  <si>
    <t xml:space="preserve"> Achat billet Loudima-Sibiti/ Roderlin</t>
  </si>
  <si>
    <t xml:space="preserve">Taxi-moto: La gare routiere de Sibiti-Hôtel le papyrus </t>
  </si>
  <si>
    <t>Taxi-moto:Hôtel le papyrus-Marché pour l'achat de la ration du  prevenu</t>
  </si>
  <si>
    <t>Ration  du prevenu MANKOUSSOU Auzere à la maison d'arrêt de Sibiti/soir</t>
  </si>
  <si>
    <t>Taxi-moto:Marché-Maison d'arrêt de Sibiti</t>
  </si>
  <si>
    <t>Taxi-moto:Maison d'arrêt de Sibiti-Hôtel le papyrus</t>
  </si>
  <si>
    <t>RODERLIN-CONGO Ration du 19 au 21/08/2025 à Sibiti (02 nuitées)</t>
  </si>
  <si>
    <t>Tation du prevenu MANKOUSSOU Auzere à la maison d'arrêt de Sibiti/matin</t>
  </si>
  <si>
    <t xml:space="preserve">Taxi-moto:Maison d'arrêt de Sibiti-tGI pour la vérification des des expéditions </t>
  </si>
  <si>
    <t xml:space="preserve">Taxi-moto:TGI-Hotel le papyrus </t>
  </si>
  <si>
    <t>Ration du prevenu MANKOUSSOU Auzere à la maison d'arrêt de Sibiti/soir</t>
  </si>
  <si>
    <t>RODERLIN-CONGO Frais d'hôtel du 19 au 21/08/2025 à Sibiti (02 nuitées)</t>
  </si>
  <si>
    <t>Taxi-moto:Hôtel le papyrus-La garre de Sibiti</t>
  </si>
  <si>
    <t xml:space="preserve"> Achat billet Sibiti-Nkayi/ Roderlin</t>
  </si>
  <si>
    <t xml:space="preserve"> Achat billet Nkayi-Brazzaville/ Roderlin </t>
  </si>
  <si>
    <t xml:space="preserve">Taxi:Agence trans bony de Kintélé-Domicile </t>
  </si>
  <si>
    <t xml:space="preserve">Taxi:Bureau-Agence océan du nord de la liberté pour la reservation des billets </t>
  </si>
  <si>
    <t xml:space="preserve"> Achat billet Brazzaville-Impfondo / Roderlin</t>
  </si>
  <si>
    <t>Taxi:Agence Océan du nord de la liberté-Bureau</t>
  </si>
  <si>
    <t>Taxi:Bureau-Cabinet BANZOUZI pour la rémise du budget</t>
  </si>
  <si>
    <t>Taxi:Cabinet BANZOUZI-Bureau</t>
  </si>
  <si>
    <t xml:space="preserve">Taxi:Domicile-Agence Océan du nord de Talangaî </t>
  </si>
  <si>
    <t xml:space="preserve">Taxi:Agence Océan du nord de Ouesso-Hôtel Divine </t>
  </si>
  <si>
    <t>RODERLIN-CONGO Ration du 28/08/ au 01/09/2025 à Ouesso/Enyele/ Impfondo (04 nuitées)</t>
  </si>
  <si>
    <t>RODERLIN-CONGO Frais d'hôtel du 28 au 29/08/2025 à Ouesso (01 nuitée)</t>
  </si>
  <si>
    <t>Taxi:Hôtel Divine-Agence Océan du nord de Ouesso</t>
  </si>
  <si>
    <t xml:space="preserve">Taxi-moto:Agence Océan du nord de Enyele-Hôtel Paulina </t>
  </si>
  <si>
    <t>RODERLIN-CONGO Frais d'hôtel du 29 au 30/08/2025 à Enyele (01 nuitée)</t>
  </si>
  <si>
    <t xml:space="preserve">Taxi:Hôtel Paulina-Agence Océan du nord de Enyele </t>
  </si>
  <si>
    <t>Taxi-moto:Agence Océan du nord d'Impfondo-Hôtel Mithe</t>
  </si>
  <si>
    <t>RO-AU-D1</t>
  </si>
  <si>
    <t>RO-AU-R1</t>
  </si>
  <si>
    <t>RO-AU-R2</t>
  </si>
  <si>
    <t>RO-AU-R3</t>
  </si>
  <si>
    <t>RO-AU-D3</t>
  </si>
  <si>
    <t>RO-AU-D2</t>
  </si>
  <si>
    <t>RO-AU-R4</t>
  </si>
  <si>
    <t>RO-AU-R5</t>
  </si>
  <si>
    <t>RO-AU-R6</t>
  </si>
  <si>
    <t>RO-AU-R7</t>
  </si>
  <si>
    <t>RO-AU-D4</t>
  </si>
  <si>
    <t>RO-AU-R8</t>
  </si>
  <si>
    <t>RO-AU-R9</t>
  </si>
  <si>
    <t>Achat billet Brazzaville-Imfondo/ Donald-Roméo</t>
  </si>
  <si>
    <t>Taxi Domicile-Agence Océan du Nord de Talangaï</t>
  </si>
  <si>
    <t>Taxi agence Océan du Nord d'Oyo-Hôtel Saint Benoit</t>
  </si>
  <si>
    <t>Ration  du  14/08 au 02/09/2025 à Oyo, Impfondo et  Enyellé/ Donald-Roméo</t>
  </si>
  <si>
    <t>Donald Roméo- CONGO Frais d'hôtel du 14 au 15/08/2025 à Oyo (01 Nuitée)</t>
  </si>
  <si>
    <t>Taxi Hôtel Saint Benoit-agence Océan du Nord d'Oyo</t>
  </si>
  <si>
    <t>Taxi Hôtel agence Océan du Nord d'Enyelé-Hôtel Paulina</t>
  </si>
  <si>
    <t>Donald Roméo -CONGO Frais d'hôtel/ du 15 au 16/08/2025 à Enyelé (01 Nuitée)</t>
  </si>
  <si>
    <t>Taxi Hôtel Paulina-agence Océan du Nord d'Enylé</t>
  </si>
  <si>
    <t>Taxi agence Océan du Nord d'Impfondo-Hôtel Mithé</t>
  </si>
  <si>
    <t>Reçu caisse/Donald-Roméo</t>
  </si>
  <si>
    <t>Taxi Hôtel Mithé-Charden farell/ Retrait des fonds</t>
  </si>
  <si>
    <t>Taxi Charden farell-Hôtel Mithé</t>
  </si>
  <si>
    <t>Credit telephonique MTN PALF/du 18 au 31 Août 2025</t>
  </si>
  <si>
    <t>Taxi moto Hôtel-DDEF/ Rencontrer le DD</t>
  </si>
  <si>
    <t xml:space="preserve">Taxi moto DDEF-TGI/ Rencontrer le Procureur </t>
  </si>
  <si>
    <t>Taxi moto Région de gendarmerie-Hôtel Mithé</t>
  </si>
  <si>
    <t>Taxi moto Hôtel Mithé- Hôtel Tropicana/ Reperage</t>
  </si>
  <si>
    <t>Taxi moto Hôtel Tropicana- Aeroport d'Impfondo</t>
  </si>
  <si>
    <t>Taxi moto Aeroport d'Impfondo-Charden farell/ Retrait des fonds</t>
  </si>
  <si>
    <t>Taxi moto Hôtel Mithé- Cyber / Faire imprimer la photo et le mandat</t>
  </si>
  <si>
    <t>Taxi moto Cyber-Hôtel Mithé</t>
  </si>
  <si>
    <t>Taxi moto Hôtel Mithé- Gendarmerie/ Opération</t>
  </si>
  <si>
    <t>Taxi moto Region de Gendarmerie- Hôtel Mithé</t>
  </si>
  <si>
    <t>Taxi moto Hôtel Mithé-La Brigade de Recherche/ Pour la visite geôle du 25/08/2025 à 20h</t>
  </si>
  <si>
    <t>Ration d'une prevenue/ MOUKAHOU Clarisse/ A la gandarmerie d'Impfondo/Soir</t>
  </si>
  <si>
    <t>Taxi moto La Brigade de Recherche- Hôtel Mithé</t>
  </si>
  <si>
    <t>Taxi moto Hôtel Mithé-La Brigade de Recherche/ Pour la visite geôle du 26/08/2025 à 07h</t>
  </si>
  <si>
    <t>Ration d'une prevenue/ MOUKAHOU Clarisse/ A la gandarmerie d'Impfondo/Matin</t>
  </si>
  <si>
    <t>Taxi moto Hôtel Mithé-La gendarmerie/ Auditions</t>
  </si>
  <si>
    <t>Taxi moto La gendarmerie- Hôtel Mithé</t>
  </si>
  <si>
    <t>Taxi moto Hôtel Mithé-La Brigade de Recherche/ Pour la visite geôle du 26/08/2025 à 20h</t>
  </si>
  <si>
    <t>Taxi moto Hôtel Mithé-La Brigade de Recherche/ Pour la visite geôle du 27/08/2025 à 07h</t>
  </si>
  <si>
    <t>Taxi moto Hôtel Mithé-La gendarmerie/ Comptages des écailles</t>
  </si>
  <si>
    <t>Taxi moto La gendarmerie- DDEF/ Saisie de la procédure</t>
  </si>
  <si>
    <t>Taxi moto DDEF-Charden farell/ Retrait de fonds</t>
  </si>
  <si>
    <t>Taxi moto Charden farell-Hôtel Mithé</t>
  </si>
  <si>
    <t>Taxi moto Hôtel Mithé-La Brigade de Recherche/ Pour la visite geôle du 27/08/2025 à 20h</t>
  </si>
  <si>
    <t>Taxi moto Hôtel Mithé-La Brigade de Recherche/ Pour la visite geôle du 28/08/2025 à 07h</t>
  </si>
  <si>
    <t>Taxi moto DDEF-Hôtel Mithé</t>
  </si>
  <si>
    <t>Taxi moto Hôtel Mithé-La Brigade de Recherche/ Pour la visite geôle du 28/08/2025 à 20h</t>
  </si>
  <si>
    <t>Taxi moto Hôtel Mithé-La Brigade de Recherche/ Pour la visite geôle du 29/08/2025 à 07h</t>
  </si>
  <si>
    <t>Taxi moto Hôtel Mithé-Cyber café/ Faire imprimer la procédure de la Gendarmerie</t>
  </si>
  <si>
    <t>Office materials</t>
  </si>
  <si>
    <t>Taxi moto Cyber café-Region de gendarmerie/ Faire signer les PV aux prévenus</t>
  </si>
  <si>
    <t>Taxi moto TGI- Hôtel Mithé</t>
  </si>
  <si>
    <t>DR-AU-R1</t>
  </si>
  <si>
    <t>DR-AU-D1</t>
  </si>
  <si>
    <t>DR-AU-D2</t>
  </si>
  <si>
    <t>DR-AU-R2</t>
  </si>
  <si>
    <t>DR-AU-R3</t>
  </si>
  <si>
    <t>DR-AU-R4</t>
  </si>
  <si>
    <t>DR-AU-R5</t>
  </si>
  <si>
    <t>DR-AU-R6</t>
  </si>
  <si>
    <t>DR-AU-R7</t>
  </si>
  <si>
    <t>DR-AU-R8</t>
  </si>
  <si>
    <t>DR-AU-D3</t>
  </si>
  <si>
    <t>DR-AU-R9</t>
  </si>
  <si>
    <t>Taxi, Domicile-Bureau PALF</t>
  </si>
  <si>
    <t>Achat Billet Brazzaville-Impfondo/Evariste</t>
  </si>
  <si>
    <t>Taxi, Bureau PALF-Domicile</t>
  </si>
  <si>
    <t>Taxi, Domicile-Agence Océan du Nord de Talangai</t>
  </si>
  <si>
    <t>Taxi moto, Agence Océan du Nord d'Oyo-Hôtel Saint Benoit</t>
  </si>
  <si>
    <t>Evariste-CONGO Ration du 14 août au 03 septembre 2025 à Impfondo ( 20 nuitées )</t>
  </si>
  <si>
    <t>Taxi moto, Hôtel Saint Benoit-Agence Océan du Nord d'Oyo</t>
  </si>
  <si>
    <t xml:space="preserve">Evariste-CONGO Frais de l'hôtel du 15 au 16/08/2025 à Enyelé ( 01 nuitée) </t>
  </si>
  <si>
    <t>Taxi moto, Agence Océan du Nord d'Impfondo-Hôtel Mité 2</t>
  </si>
  <si>
    <t>Taxi moto, Hôtel Mithé2-les environs de l'hôtel Tropicana</t>
  </si>
  <si>
    <t>Taxi moto, Hôtel Tropicana-Hôtel Mithé2</t>
  </si>
  <si>
    <t>Taxi moto, Hôtel Mithé2-Région de Gendarmerie</t>
  </si>
  <si>
    <t>Taxi moto, Région de Gendarmerie-Le Bar en face de l'hôtel Tropicana</t>
  </si>
  <si>
    <t>Rafraichissement de mon équipe lors de l'opération/ Evariste</t>
  </si>
  <si>
    <t>Taxi moto, Région de Gendarmerie-Hôtel Mithé2</t>
  </si>
  <si>
    <t>Taxi moto, Hôtel Mithé2-Region de gendarmerie</t>
  </si>
  <si>
    <t>Taxi moto, Région de gendarmerie-Charden Farell</t>
  </si>
  <si>
    <t>Taxi moto, Charden Farell-Region de gendarmerie</t>
  </si>
  <si>
    <t>Taxi moto, Hôtel Mithé2-Agence Océan du Nord d'Impfondo</t>
  </si>
  <si>
    <t>Taxi moto, Hôtel Mithé2-Charden Farell</t>
  </si>
  <si>
    <t>Taxi moto, Charden Farell-Hôtel Mithé2</t>
  </si>
  <si>
    <t>EV-AU-D1</t>
  </si>
  <si>
    <t>EV-AU-R1</t>
  </si>
  <si>
    <t>EV-AU-D2</t>
  </si>
  <si>
    <t>EV-AU-R2</t>
  </si>
  <si>
    <t>EV-AU-R3</t>
  </si>
  <si>
    <t>EV-AU-R4</t>
  </si>
  <si>
    <t>EV-AU-R5</t>
  </si>
  <si>
    <t>EV-AU-R6</t>
  </si>
  <si>
    <t>Taxi: Bureau-Imprimérie DL/ pour retirer les cartes de visite du Coordo</t>
  </si>
  <si>
    <t>Taxi: Imprimérie DL -Bureau</t>
  </si>
  <si>
    <t>Credit telephonique MTN PALF/du 18 au 31 Août2025/Romain</t>
  </si>
  <si>
    <t>Taxi: Bureau Agence Trans Bony de la Frontière</t>
  </si>
  <si>
    <t>Taxi: Agence Trans Bony de la Frontière-Agence Trans Bony de Diata</t>
  </si>
  <si>
    <t>Taxi: Agence Trans Bony de Diata-Bureau</t>
  </si>
  <si>
    <t>Taxi: Domicile-Agence Trans Bony de Diata</t>
  </si>
  <si>
    <t>Taxi: Bureau-Agence Océan du Nord de Talangai</t>
  </si>
  <si>
    <t>Taxi: Agence Océan du Nord de Talangai-Bureau</t>
  </si>
  <si>
    <t>Taxi: Bureau-Charden Farell(Pour le transfert d'argent)</t>
  </si>
  <si>
    <t>Taxi: Charden Farell-Bureau</t>
  </si>
  <si>
    <t>Taxi: Bureau-Charden Farell/Pour le transfert d'argent</t>
  </si>
  <si>
    <t>RM-AU-D1</t>
  </si>
  <si>
    <t>RM-AU-R1</t>
  </si>
  <si>
    <t>Evariste-CONGO Frais de l'hôtel du 14 au 15/08/2025 à Oyo ( 01 nuitée)</t>
  </si>
  <si>
    <t>Reglement honoraire du mois de Juillet 2025/IT87/3654411</t>
  </si>
  <si>
    <t>Reglement Facture Gardiennage Mois Juillet 2025/3654414</t>
  </si>
  <si>
    <t>RAPATRIEME01100 RAO00010886/Fondation de la Famille Dahan(DFF)</t>
  </si>
  <si>
    <t>RAPATRIEME01100 RAO00010886/Fondation Wildcat</t>
  </si>
  <si>
    <t>Paiement salaire du mois de Juillet 2025/Homéfa DOVI/3654413</t>
  </si>
  <si>
    <t>Solde honoraire contrat N°63_Brazzaville cas IBAMBOU ATEMBO Delmand Ferréol/Maitre Marie Hélène NANITELAMIO MALONGA/ 3654416</t>
  </si>
  <si>
    <t>Paiement Honoraire Me LOCKO/Mois de Juillet  2025/3654418</t>
  </si>
  <si>
    <t>Paiement Honoraire Me LOCKO/Mois de Juin 2025/36544889</t>
  </si>
  <si>
    <t>Paiement salaire du mois d'Août 2025/BAVOUMINA NZOUSSI Dina Parfaite/3654421</t>
  </si>
  <si>
    <t>Paiement salaire du mois d'Août 2025/FOUMBA Roderlin/3654424</t>
  </si>
  <si>
    <t>Paiement salaire du mois d'Août 2025/BOUNGOU MAKOSSO Abraham/3654423</t>
  </si>
  <si>
    <t>Paiement salaire du mois d'Août 2025/Crepin IBOUILI-IBOUILI</t>
  </si>
  <si>
    <t>Paiement salaire du mois d'Août 2025/PINDI BINGA Donald- Roméo</t>
  </si>
  <si>
    <t>Paiement salaire du mois d'Août 2025/Evariste LELOUSSI</t>
  </si>
  <si>
    <t>Paiement salaire du mois d'Août 2025/LOUNDOU JeanRomain/3654422</t>
  </si>
  <si>
    <t>Paiement salaire du mois d'Août 2025/Homéfa DOVI/3654425</t>
  </si>
  <si>
    <t>Reglement loyer du mois d'Août 2025/3654420</t>
  </si>
  <si>
    <t>Frais de virement salaire du mois d'Août 2025</t>
  </si>
  <si>
    <t>Reglement honoraire du mois d'Août 2025/G12/3654427</t>
  </si>
  <si>
    <t>Reglement honoraire du mois d'Août 2025/IT87/3654426</t>
  </si>
  <si>
    <t>BQ-AU-R2</t>
  </si>
  <si>
    <t>BQ-AU-R3</t>
  </si>
  <si>
    <t>BQ-AU-R4</t>
  </si>
  <si>
    <t>BQ-AU-R5</t>
  </si>
  <si>
    <t>BQ-AU-R6</t>
  </si>
  <si>
    <t>BQ-AU-R7</t>
  </si>
  <si>
    <t>BQ-AU-R8</t>
  </si>
  <si>
    <t>BQ-AU-R9</t>
  </si>
  <si>
    <t>BQ-AU-R10</t>
  </si>
  <si>
    <t>BQ-AU-R11</t>
  </si>
  <si>
    <t>BQ-AU-R12</t>
  </si>
  <si>
    <t>BQ-AU-R13</t>
  </si>
  <si>
    <t>BQ-AU-R14</t>
  </si>
  <si>
    <t>BQ-AU-R15</t>
  </si>
  <si>
    <t>BQ-AU-R16</t>
  </si>
  <si>
    <t>BQ-AU-R17</t>
  </si>
  <si>
    <t>BQ-AU-R18</t>
  </si>
  <si>
    <t>Reglement loyer du mois de Juillet 2025/3654407+C31C21CC3:C27</t>
  </si>
  <si>
    <t>BQ-AU-G1</t>
  </si>
  <si>
    <t>BQ-AU-G2</t>
  </si>
  <si>
    <t>août</t>
  </si>
  <si>
    <t>Achat produit d'entretien laits /Bureau PALF</t>
  </si>
  <si>
    <t>Achat produit d'entretien javel /Bureau PALF</t>
  </si>
  <si>
    <t>Achat produit d'entretien Nettoyant menage /Bureau PALF</t>
  </si>
  <si>
    <t>Achat produit d'entretien bloc WC /Bureau PALF</t>
  </si>
  <si>
    <t>Achat produit d'entretienBoite Matinal /Bureau PALF</t>
  </si>
  <si>
    <t>Achat produit d'entretien paquet Lipton/Bureau PALF</t>
  </si>
  <si>
    <t>Achat produit d'entretien Liquide vaiselle /Bureau PALF</t>
  </si>
  <si>
    <t>Achat produit d'entretien Savon/Bureau PALF</t>
  </si>
  <si>
    <t>Achat produit d'entretien proclin detergent/Bureau PALF</t>
  </si>
  <si>
    <t>Achat produit d'entretien Sucre /Bureau PALF</t>
  </si>
  <si>
    <t>Achat produit d'entretienPapier toilette/Bureau PALF</t>
  </si>
  <si>
    <t>Achat produit d'entretien Sac poubelle /Bureau PALF</t>
  </si>
  <si>
    <t>Bonus media portant sur le bilan des activités PALF de Janvier à Juillet pièces presse Internet (https://www.panoramik-actu.com)</t>
  </si>
  <si>
    <t>Bonus media portant sur le bilan des activités PALF de Janvier à Juillet pièces presse Internet (https://www.tribune-eco.cg)</t>
  </si>
  <si>
    <t>Bonus media portant sur le bilan des activités PALF de Janvier à Juillet pièces presse Internet (https://www.groupecongomedias.com)</t>
  </si>
  <si>
    <t>Bonus media portant sur le bilan des activités PALF de Janvier à Juillet pièces presse Internet (https://www.labreveonline.com)</t>
  </si>
  <si>
    <t>Bonus media portant sur le bilan des activités PALF de Janvier à Juillet pièces presse Internet (https://www.adiac-congo.com)</t>
  </si>
  <si>
    <t>Bonus media portant sur le bilan des activités PALF de Janvier à Juillet pièces presse Internet (https://www.lasemaineafricaine.info)</t>
  </si>
  <si>
    <t>Bonus media portant sur le bilan des activités PALF de Janvier à Juillet pièces presse Internet (https://www.matinlibre.cg)</t>
  </si>
  <si>
    <t>Bonus media portant sur le bilan des activités PALF de Janvier à Juillet pièces presse Internet (https://www.firstmediac.com)</t>
  </si>
  <si>
    <t>Bonus media portant sur le bilan des activités PALF de Janvier à Juillet pièces presse Internet (https://www.journaldebrazza.com)</t>
  </si>
  <si>
    <t>Bonus media portant sur le bilan des activités PALF de Janvier à Juillet pièces presse Internet (https://vmmedias.info)</t>
  </si>
  <si>
    <t>Bonus media portant sur le bilan des activités PALF de Janvier à Juillet pièces presse Internet (https://aci.cg)</t>
  </si>
  <si>
    <t>Bonus media portant sur le bilan des activités PALF de Janvier à Juillet pièces presse Internet (https://lesechos-congobrazza.com/)</t>
  </si>
  <si>
    <t>Bonus media portant sur le bilan des activités PALF de Janvier à Juillet pièces presse Internet (https://opinionpublique.cg)</t>
  </si>
  <si>
    <t>Bonus media portant sur le bilan des activités PALF de Janvier à Juillet pièces presse Internet (https://www.lhorizonafricain.com)</t>
  </si>
  <si>
    <t>Bonus media portant sur le bilan des activités PALF de Janvier à Juillet pièces presse Papier (Dépêches de Brazzaville)</t>
  </si>
  <si>
    <t>Bonus media portant sur le bilan des activités PALF de Janvier à Juillet pièces presse Papier (la semaine Africaine)</t>
  </si>
  <si>
    <t>Bonus media portant sur le bilan des activités PALF de Janvier à Juillet pièces presse Papier( l'horizon Africain)</t>
  </si>
  <si>
    <t>Bonus media portant sur le bilan des activités PALF de Janvier à Juillet pièces presse Papier (l'Agence congolaise de l'information)</t>
  </si>
  <si>
    <t>Bonus media portant sur le bilan des activités PALF de Janvier à Juillet pièces Radio, (Radio Citoyenne des Jeunes)</t>
  </si>
  <si>
    <t>Bonus medias(TV Congo) portant sur l'interpetation d'une trafiquante de produit de  faune le 25 Août Août 2025 à Impfondo pieces( télé Congo montages)</t>
  </si>
  <si>
    <t>Bonus medias(TV Congo) portant sur l'interpetation d'une trafiquante de produit de  faune le 25 Août Août 2025 à Impfondo pieces (télé Congo, lingala )</t>
  </si>
  <si>
    <t>Bonus medias(TV Congo) portant sur l'interpetation d'une trafiquante de produit de  faune le 25 Août Août 2025 à Impfondo pieces (télé Congo kituba)</t>
  </si>
  <si>
    <t>Bonus medias(TV Congo) portant sur l'interpetation d'une trafiquante de produit de  faune le 25 Août Août 2025 à Impfondo (pieces télé Congo français)</t>
  </si>
  <si>
    <t>CR-AU-R1-2</t>
  </si>
  <si>
    <t>CR-AU-R1-3</t>
  </si>
  <si>
    <t>CR-AU-R1-4</t>
  </si>
  <si>
    <t>CR-AU-R1-5</t>
  </si>
  <si>
    <t>CR-AU-R1-6</t>
  </si>
  <si>
    <t>CR-AU-R1-7</t>
  </si>
  <si>
    <t>CR-AU-R1-8</t>
  </si>
  <si>
    <t>CR-AU-R1-9</t>
  </si>
  <si>
    <t>CR-AU-R1-10</t>
  </si>
  <si>
    <t>Credit telephonique MTN/PALF/ du 01 au 07 Septembre 2025/DOVI</t>
  </si>
  <si>
    <t>Recu caisse</t>
  </si>
  <si>
    <t>Règlement Loyer Août/Coordinateur</t>
  </si>
  <si>
    <t>Credit telephonique MTN/PALF/ du 08 au 14 Septembre 2025/DOVI</t>
  </si>
  <si>
    <t>Bureau-Ambassade de France</t>
  </si>
  <si>
    <t>Ambassade de France - PNUD</t>
  </si>
  <si>
    <t>PNUD -Bureau</t>
  </si>
  <si>
    <t>Maison -Bureau</t>
  </si>
  <si>
    <t>Bureau -maison</t>
  </si>
  <si>
    <t>Parc Zoologique - Bureau</t>
  </si>
  <si>
    <t>Maison-Parc Zoologique (rendez vous avec le nouveau avec DGEF)</t>
  </si>
  <si>
    <t>Credit telephonique MTN/PALF/ du 15 au 21 Septembre 2025/DOVI</t>
  </si>
  <si>
    <t>Bureau-Banque BCI</t>
  </si>
  <si>
    <t>Banque BCI -Bureau</t>
  </si>
  <si>
    <t>Prêt/Caisse</t>
  </si>
  <si>
    <t>Bureau- Maison</t>
  </si>
  <si>
    <t>Achat billet Brazzaville- Dolisie/ DOVI</t>
  </si>
  <si>
    <t>Maison-Transbony (Départ pour Dolisie)</t>
  </si>
  <si>
    <t xml:space="preserve">Prêt caisse/Dovi </t>
  </si>
  <si>
    <t>Credit telephonique MTN/PALF/ du 29 septembre au 05 octobre 2025/DOVI</t>
  </si>
  <si>
    <t>Ration du 29/09 au 02/ 10/ 2025 à Dolisie</t>
  </si>
  <si>
    <t>DH-S-D1</t>
  </si>
  <si>
    <t>DH-S-R1</t>
  </si>
  <si>
    <t>DH-S-V1</t>
  </si>
  <si>
    <t>DH-S-R2</t>
  </si>
  <si>
    <t>DH-S-R3</t>
  </si>
  <si>
    <t>DH-S-R4</t>
  </si>
  <si>
    <t>DH-S-V2</t>
  </si>
  <si>
    <t>DH-S-R5</t>
  </si>
  <si>
    <t>DH-S-V3</t>
  </si>
  <si>
    <t>DH-S-R6</t>
  </si>
  <si>
    <t>Solde au 01/09/2025</t>
  </si>
  <si>
    <t>CREPIN-CONGO Ration du 02 au 14/09/2025 à Impfondo</t>
  </si>
  <si>
    <t>Credit telephonique MTN PALF/du 01 au 07 septembre 2025/ crepin</t>
  </si>
  <si>
    <t>Reçu de caisse</t>
  </si>
  <si>
    <t>Achat Carburant de la BJ aller-retour Impfondo-Dangou</t>
  </si>
  <si>
    <t xml:space="preserve">Raiffraichissement pour la mission de Dangou </t>
  </si>
  <si>
    <t>plats pour les éléments pendant la mission de Dangou</t>
  </si>
  <si>
    <t>Credit telephonique MTN PALF/du 08 au 14 septembre 2025/ crepin</t>
  </si>
  <si>
    <t>Taxi moto: Hôtel-Gendamerie</t>
  </si>
  <si>
    <t>Taxi moto: Hôtel-Agence Océan pour les formalités</t>
  </si>
  <si>
    <t>Taxi moto: Agence Océan-Hôtel</t>
  </si>
  <si>
    <t>Taxi moto: Hôtel-Agence Océan du Nord</t>
  </si>
  <si>
    <t>Achat Billet Impfondo-Brazzaville/ CREPIN</t>
  </si>
  <si>
    <t>Taxi: Agence Océan de Talangai liberté-Camp militaire Mfilou</t>
  </si>
  <si>
    <t>Taxi: Domicile-Bureau pour signature des pièces comptables après l'appel de la comptable (Jour de recupération).</t>
  </si>
  <si>
    <t>Taxi: Bureau-Domicile</t>
  </si>
  <si>
    <t>Credit telephonique MTN PALF/du 17 au 21 septembre 2025/ crepin</t>
  </si>
  <si>
    <t>Bonus opération du 25/08/2025 à Impfondo/Crépin</t>
  </si>
  <si>
    <t>Taxi: Domicile Mayanga-Marché Total pour le bureau préparatifs mission Dolisie.</t>
  </si>
  <si>
    <t>Taxi: Marché Total-Bureau</t>
  </si>
  <si>
    <t>Taxi: Bureau-Marché Total</t>
  </si>
  <si>
    <t>Taxi: Domicile Mayanga-Marché Total</t>
  </si>
  <si>
    <t>Taxi: Bureau-Agence trans bony achat billets</t>
  </si>
  <si>
    <t xml:space="preserve">Taxi: Agence trans bony la frontière-Bureau </t>
  </si>
  <si>
    <t>Taxi: Marché Total-Domicile Mayanga.</t>
  </si>
  <si>
    <t>Achat Billet Brazzaville-Dolisie/ CREPIN</t>
  </si>
  <si>
    <t>Credit telephonique MTN PALF/du 29 septembre au 05 octobre 2025/ crepin</t>
  </si>
  <si>
    <t>CREPIN-CONGO Ration du 29 /09 au 05/10/2025 à Dolisie</t>
  </si>
  <si>
    <t>Taxi: Domicile Mayanga-Agence Trans Bony la Frontière</t>
  </si>
  <si>
    <t>CR-S-D2</t>
  </si>
  <si>
    <t>CR-S-R1</t>
  </si>
  <si>
    <t>CR-S-V1</t>
  </si>
  <si>
    <t>CR-S-V2</t>
  </si>
  <si>
    <t>CR-S-D1</t>
  </si>
  <si>
    <t>CR-S-R2</t>
  </si>
  <si>
    <t>CR-S-R3</t>
  </si>
  <si>
    <t>CR-S-R4</t>
  </si>
  <si>
    <t>CR-S-R5</t>
  </si>
  <si>
    <t>CR-S-V3</t>
  </si>
  <si>
    <t>CR-S-V4</t>
  </si>
  <si>
    <t>CR-S-R6</t>
  </si>
  <si>
    <t>CR-S-R7</t>
  </si>
  <si>
    <t>CR-S-R8</t>
  </si>
  <si>
    <t>CR-S-R9</t>
  </si>
  <si>
    <t>CR-S-R10</t>
  </si>
  <si>
    <t>CA-S-D5</t>
  </si>
  <si>
    <t>CR-S-V5</t>
  </si>
  <si>
    <t>CR-S-R11</t>
  </si>
  <si>
    <t>CR-S-R12</t>
  </si>
  <si>
    <t>CR-S-D3</t>
  </si>
  <si>
    <t>Taxi:  Bureau-Banque BCI/ Retrait espece</t>
  </si>
  <si>
    <t>Taxi:  Banque BCI - Direction MTN /Achat crédit bureau PALF</t>
  </si>
  <si>
    <t>Taxi: Direction MTN-Bureau/</t>
  </si>
  <si>
    <t>Ration et frais d'hotel mission maitre Alain à Impfondo du 01 au 07/09/2025</t>
  </si>
  <si>
    <t>Frais de transport mission Maitre Alain à Impfondo du 01 au 07/09/2025</t>
  </si>
  <si>
    <t>Taxi: Bureau - Charden Farell/transfert d'argent à Roderlin et Maitre Alain</t>
  </si>
  <si>
    <t>Frais de tansfert d'argent à Roderlin et Mr Alain</t>
  </si>
  <si>
    <t>Credit teléphonique MTN PALF/ du 01 au 07 septembre 2025/ Parfaite</t>
  </si>
  <si>
    <t>Taxi:  Banque BCI - Direction MTN /Complement Achat crédit bureau PALF</t>
  </si>
  <si>
    <t>Taxi: Direction MTN-Bureau</t>
  </si>
  <si>
    <t>Credit teléphonique MTN PALF/ du 08 au 14 septembre 2025/ Parfaite</t>
  </si>
  <si>
    <t>Taxi:  Bureau-Banque BCI/ Recuperation le reçu  Appro caisse du 08/09/2025PALF</t>
  </si>
  <si>
    <t>Taxi:  Banque BCI - Bureau</t>
  </si>
  <si>
    <t>Taxi:  Bureau-Banque BCI/Accusé reception de la lettre de justificatif de fond PALF</t>
  </si>
  <si>
    <t>Taxi:  Bureau-Banque BCI/ Retrait espèce</t>
  </si>
  <si>
    <t>Taxi:Bureau - Direction MTN / Achat crédit bureau PALF</t>
  </si>
  <si>
    <t>Credit teléphonique MTN PALF/ du 15 au 21 septembre 2025/ Parfaite</t>
  </si>
  <si>
    <t>Taxi: Bureau - Charden Farell/transfert d'argent à P29 et T73</t>
  </si>
  <si>
    <t>Taxi: Charden Farell- Bureau</t>
  </si>
  <si>
    <t>Taxi:  Bureau- Cabinet d'avocat/Depot  du chèque du mois d'aout 2025 Me LOCKO</t>
  </si>
  <si>
    <t>Taxi:  Cabinet d'Avocat - Domicile</t>
  </si>
  <si>
    <t>Frais de tansfert d'argent  a P29 et T73</t>
  </si>
  <si>
    <t>Taxi:  Bureau- Direction MTN/Transfert d'argent à P29 et T73</t>
  </si>
  <si>
    <t>Taxi:   Direction MTN- Domicile</t>
  </si>
  <si>
    <t>Frais de réparation d'imprimante bureau PALF</t>
  </si>
  <si>
    <t>Frais de ramassage Ordure de Septembre 2025</t>
  </si>
  <si>
    <t>Taxi:Domicile -Bureau</t>
  </si>
  <si>
    <t>Taxi:  Bureau- WESTERN UNION Moungali</t>
  </si>
  <si>
    <t>Taxi:  WESTERN UNION Moungali-WESTERN UNION Mapassi</t>
  </si>
  <si>
    <t>Taxi: WESTERN UNION Mapassi- WESTERN UNION Plateau</t>
  </si>
  <si>
    <t>Taxi:  WESTERN UNION Plateau- Bureau</t>
  </si>
  <si>
    <t>Taxi:   Bureau- Domicile</t>
  </si>
  <si>
    <t>Taxi:  Domicile- Western Union Plateau</t>
  </si>
  <si>
    <t>Taxi:  Domicile- Direction MTN/Achat crédits  Bureau PALF</t>
  </si>
  <si>
    <t>Taxi:   Direction MTN- Banque/Demande de positionnement de fond dans le compte PALF</t>
  </si>
  <si>
    <t>Credit teléphonique MTN PALF/ du 29  septembre au 05 octobre 2025/ Parfaite</t>
  </si>
  <si>
    <t>Taxi:  Banque BCI -Agence western union/ transfert d'argent à Jana et Lydia</t>
  </si>
  <si>
    <t>Taxi: Agence western union-Bureau</t>
  </si>
  <si>
    <t>Taxi:Bureau- Direction Canal Box/ Paiement internet du mois d'octobre 2025</t>
  </si>
  <si>
    <t>Frais de tansfert d'argent  à Jana et Lydia</t>
  </si>
  <si>
    <t>Reglement facture internet periode du 01/10 au 31/10/2025 bureau PALF</t>
  </si>
  <si>
    <t>Taxi: Direction Canal Box-Bureau/ Paiement internet du mois d'octobre 2025</t>
  </si>
  <si>
    <t>P-S-D1</t>
  </si>
  <si>
    <t>CA-S-R1</t>
  </si>
  <si>
    <t>CA-S-R2</t>
  </si>
  <si>
    <t>CA-S-R3</t>
  </si>
  <si>
    <t>P-S-R1</t>
  </si>
  <si>
    <t>CA-S-R5</t>
  </si>
  <si>
    <t>P-S-R2</t>
  </si>
  <si>
    <t>P-S-R3</t>
  </si>
  <si>
    <t>P-S-V1</t>
  </si>
  <si>
    <t>CA-S-R14</t>
  </si>
  <si>
    <t>CA-S-R18</t>
  </si>
  <si>
    <t>CA-S-R20</t>
  </si>
  <si>
    <t>CA-S-R21</t>
  </si>
  <si>
    <t>CA-S-R22</t>
  </si>
  <si>
    <t>P-S-R4</t>
  </si>
  <si>
    <t>CA-S-R24</t>
  </si>
  <si>
    <t>CA-S-R25</t>
  </si>
  <si>
    <t>P-S-V2</t>
  </si>
  <si>
    <t>Taxi hotel-agence,départ pour brazza</t>
  </si>
  <si>
    <t>Taxi agence-domicile,arrivé à brazzaville</t>
  </si>
  <si>
    <t>Credit telephonique MTN PALF/ du 01 au 07 Septembre 2025/ Investigation/P29</t>
  </si>
  <si>
    <t>Retour caisse/ P29</t>
  </si>
  <si>
    <t>Reçu de caisse/P29</t>
  </si>
  <si>
    <t>Achat billet Brazzaville-Dolisie/ P29</t>
  </si>
  <si>
    <t>Taxi bureau-agence, pour achat billet</t>
  </si>
  <si>
    <t>Taxi agence-bureau</t>
  </si>
  <si>
    <t>Taxi hotel-gaya,prospection</t>
  </si>
  <si>
    <t>Taxi gaya-hotel</t>
  </si>
  <si>
    <t>Taxi hotel-capable,prospection</t>
  </si>
  <si>
    <t>Taxi capable-centre,prospection</t>
  </si>
  <si>
    <t>Taxi centre-tahiti,prospection</t>
  </si>
  <si>
    <t>Taxi tahiti-marché,prospection</t>
  </si>
  <si>
    <t>Taxi marché-hotel</t>
  </si>
  <si>
    <t>Achat boison avec un cible</t>
  </si>
  <si>
    <t>Taxi capable-sab,prospection</t>
  </si>
  <si>
    <t>Taxi sab-belolo,prospection</t>
  </si>
  <si>
    <t>Taxi belolo-bacongo,prospection</t>
  </si>
  <si>
    <t>Taxi bacongo-hotel</t>
  </si>
  <si>
    <t>Taxi hotel-magadzi,prospection</t>
  </si>
  <si>
    <t>Taxi magadzi-aeroport,prospection</t>
  </si>
  <si>
    <t>Taxi aeroport-tahiti,prospection</t>
  </si>
  <si>
    <t>Taxi tahiti-tsila,prospection</t>
  </si>
  <si>
    <t>Taxi tsila-maboulou,prospection</t>
  </si>
  <si>
    <t>Taxi maboulou-hotel</t>
  </si>
  <si>
    <t>Taxi gare routière-matolo</t>
  </si>
  <si>
    <t>Taxi matolo-marché,prospection</t>
  </si>
  <si>
    <t>Taxi marché-seko,prospection</t>
  </si>
  <si>
    <t>Taxi seko-tiabala,prospection</t>
  </si>
  <si>
    <t>Taxi tiabala-gare routière</t>
  </si>
  <si>
    <t>Credit telephonique MTN PALF/ du 08 au 14 Septembre 2025/ Investigation/P29</t>
  </si>
  <si>
    <t>Taxi gare routière-hotel,retour à dolisie</t>
  </si>
  <si>
    <t>Taxi moto gare routière-marché,prospection</t>
  </si>
  <si>
    <t>Taxi tricycle marché-tiolo,prospection</t>
  </si>
  <si>
    <t>Taxi tricycle tiolo-diatabazagombe,prospection</t>
  </si>
  <si>
    <t>Taxi tricycle diatazabagombe-école,prospection</t>
  </si>
  <si>
    <t>Taxi moto ecole-gare routière</t>
  </si>
  <si>
    <t>Taxi gare routière-dolisie,retour à dolisie</t>
  </si>
  <si>
    <t>Taxi hotel-mombi,prospection</t>
  </si>
  <si>
    <t>Taxi mombi-capable,prospection</t>
  </si>
  <si>
    <t>Taxi capable-CF,retrait des fond</t>
  </si>
  <si>
    <t>Taxi CF-tsila,prospection</t>
  </si>
  <si>
    <t>Taxi tsila-hotel</t>
  </si>
  <si>
    <t>Achat boisson</t>
  </si>
  <si>
    <t>Taxi hotel-cf marché,pas de fonds disponible</t>
  </si>
  <si>
    <t>Taxi cf marché-cf cv,retrait des fonds</t>
  </si>
  <si>
    <t>Taxi cf -sab,reperage</t>
  </si>
  <si>
    <t>Taxi sab-ecole du marché,prperage</t>
  </si>
  <si>
    <t>Taxi ecole du marché-aeroport,reperage</t>
  </si>
  <si>
    <t>Taxi aeroprt-capable,reperage</t>
  </si>
  <si>
    <t>Taxi capable-hotel</t>
  </si>
  <si>
    <t>Taxi hotel-mboukou,reperage</t>
  </si>
  <si>
    <t>Taxi mboukou-tsila,reperage</t>
  </si>
  <si>
    <t>Taxi tsila-mont fleury,reperage</t>
  </si>
  <si>
    <t>Taxi mont fleury-gaia,reperage</t>
  </si>
  <si>
    <t>Taxi gaia-la frontière,reperage</t>
  </si>
  <si>
    <t>Taxi la frontière-hotel</t>
  </si>
  <si>
    <t>Taxi hotel pola-hotel</t>
  </si>
  <si>
    <t>Taxi hotel-bacongo,reperage</t>
  </si>
  <si>
    <t>Taxi bacongo-mbougou,reperage</t>
  </si>
  <si>
    <t>Taxi mboukou-aeroport,reperage</t>
  </si>
  <si>
    <t>Taxi aeroport-cf,retrait des fonds</t>
  </si>
  <si>
    <t>Taxi cf-gaia,reperage</t>
  </si>
  <si>
    <t>Taxi gaia-hotel,reperage</t>
  </si>
  <si>
    <t>Taxi hotel-sab,reperage</t>
  </si>
  <si>
    <t>Taxi sab-capable,reperage</t>
  </si>
  <si>
    <t>Taxi capable-la frontière,reperage</t>
  </si>
  <si>
    <t>Taxi hotel-la frontière,rsuite reperage</t>
  </si>
  <si>
    <t>Taxi la frontière-tsila,reperage</t>
  </si>
  <si>
    <t>Taxi mon fleury-hotel</t>
  </si>
  <si>
    <t>Taxi hotel-mon fleury,reperage</t>
  </si>
  <si>
    <t>Taxi mboukou-hotel,faire le bugdet</t>
  </si>
  <si>
    <t>Taxi mboukou-hotel</t>
  </si>
  <si>
    <t>Achat boisson,pour prendre détails reperage, avec un cible</t>
  </si>
  <si>
    <t>Credit telephonique MTN PALF/ du 15 au 21 Septembre 2025/ Investigation/P29</t>
  </si>
  <si>
    <t>Taxi hotel-mboukou,prendre détails au lieu op</t>
  </si>
  <si>
    <t>Taxi mboukou -hotel</t>
  </si>
  <si>
    <t>Taxi hotel-cf centre ville,pas de fonds disponible</t>
  </si>
  <si>
    <t>Taxi cf cv-cf marché,retrait des fonds</t>
  </si>
  <si>
    <t>Taxi cf-hotel</t>
  </si>
  <si>
    <t>Taxi hotel-belolo,prospection</t>
  </si>
  <si>
    <t>Taxi belolo-sab,prospection</t>
  </si>
  <si>
    <t>Taxi sab-lissanga,prospection</t>
  </si>
  <si>
    <t>Taxi lissanga-cv,prospection</t>
  </si>
  <si>
    <t>Taxi cv-hotel</t>
  </si>
  <si>
    <t>Achat boisson avec un cible</t>
  </si>
  <si>
    <t>Taxi hotel-magandzi,prospection</t>
  </si>
  <si>
    <t>Taxi magadzi-hotel</t>
  </si>
  <si>
    <t>Taxi cf cv-hotel</t>
  </si>
  <si>
    <t>Taxi hotel-hotel la gloire,réservation équipe op</t>
  </si>
  <si>
    <t>Taxi  hotel yasmine-mabidi</t>
  </si>
  <si>
    <t>Taxi hotel mabidi-sab,chercher l'équipe pour installation</t>
  </si>
  <si>
    <t>Taxi sab-yasmine,installé l'équipe</t>
  </si>
  <si>
    <t>Taxi hotel yasmine-hotel mabidi</t>
  </si>
  <si>
    <t>Credit telephonique MTN PALF/ du 29 Septembre  au 05 octobre 2025/ Investigation/P29</t>
  </si>
  <si>
    <t>Taxi hotel mabedi-hotel yasmine,reunion avec le coordinateur</t>
  </si>
  <si>
    <t>P29-S-R1</t>
  </si>
  <si>
    <t>P29-S-D1</t>
  </si>
  <si>
    <t>P29-S-R2</t>
  </si>
  <si>
    <t>P29-S-V1</t>
  </si>
  <si>
    <t>P29-S-V2</t>
  </si>
  <si>
    <t>P29-S-R3</t>
  </si>
  <si>
    <t>P29-S-D2</t>
  </si>
  <si>
    <t>P29-S-D3</t>
  </si>
  <si>
    <t>P29-S-V3</t>
  </si>
  <si>
    <t>P29-S-R4</t>
  </si>
  <si>
    <t>P29-S-R5</t>
  </si>
  <si>
    <t>P29-S-R6</t>
  </si>
  <si>
    <t>P29-S-R7</t>
  </si>
  <si>
    <t>P29-S-R8</t>
  </si>
  <si>
    <t>P29-S-V4</t>
  </si>
  <si>
    <t>P29-S-V5</t>
  </si>
  <si>
    <t>P29-S-V6</t>
  </si>
  <si>
    <t>P29-S-R9</t>
  </si>
  <si>
    <t>P29-S-V7</t>
  </si>
  <si>
    <t>P29-S-V8</t>
  </si>
  <si>
    <t>P29-S-V9</t>
  </si>
  <si>
    <t>P29-S-V10</t>
  </si>
  <si>
    <t>P29-S-R10</t>
  </si>
  <si>
    <t>P29-S-R11</t>
  </si>
  <si>
    <t>travel subsistence</t>
  </si>
  <si>
    <t>Credit telephonique MTN PALF/ du 01 au 07 septembre 2025/ Investigation/T73</t>
  </si>
  <si>
    <t>retour caisse/T73</t>
  </si>
  <si>
    <t>Taxi :bureau - agence trans bony</t>
  </si>
  <si>
    <t>Taxi :agence trans bony - domicile</t>
  </si>
  <si>
    <t>Achat carte Sim MTN /T73</t>
  </si>
  <si>
    <t>Taxi : domicile - agence bony</t>
  </si>
  <si>
    <t>Taxi : agence bony - hotel le pharaon</t>
  </si>
  <si>
    <t>réçu de caisse/T73</t>
  </si>
  <si>
    <t>achat boisson/une cible</t>
  </si>
  <si>
    <t>Taxi : bas fleury - RN1(rendez-vous avec la cible)</t>
  </si>
  <si>
    <t>Taxi : RN1 - gare routière (extraction)</t>
  </si>
  <si>
    <t>Taxi : gare routière - centre ville (extraction)</t>
  </si>
  <si>
    <t>Taxi : centre ville- hotel (extraction)</t>
  </si>
  <si>
    <t>Credit telephonique MTN PALF/ du 08 au 14 septembre 2025/ Investigation/T73</t>
  </si>
  <si>
    <t>achat boissons et nourriture/2 cibles</t>
  </si>
  <si>
    <t>achat boison (une cible)</t>
  </si>
  <si>
    <t>Taxi : charden farel - hotel (fin de journée)</t>
  </si>
  <si>
    <t>achat boisson</t>
  </si>
  <si>
    <t>Taxi : hotel - petit zanaga ( rendez - vous avec la cible)</t>
  </si>
  <si>
    <t>Taxi : petit zanaga - centre ville ( rendez - vous avec la cible)</t>
  </si>
  <si>
    <t>Taxi : centre ville - marché (extraction)</t>
  </si>
  <si>
    <t>Taxi : marché - zone hopital (extraction)</t>
  </si>
  <si>
    <t>Taxi : zone hopital - zone stade  (extraction)</t>
  </si>
  <si>
    <t>Taxi : zone stade - charden farrel (recuperer fond)</t>
  </si>
  <si>
    <t>Taxi : charden farrel - hotel (fin de journée)</t>
  </si>
  <si>
    <t>réçu de caisse T73</t>
  </si>
  <si>
    <t>Taxi : zone stade -hotel  (extraction)</t>
  </si>
  <si>
    <t>achat boissons et nourriture ( une cible)</t>
  </si>
  <si>
    <t>Taxi : hotel pharaon - hotel de P29</t>
  </si>
  <si>
    <t>Taxi : hotel de P29 - hotel pharaon</t>
  </si>
  <si>
    <t>Taxi : hotel pharaon - mont fleury ( reperage)</t>
  </si>
  <si>
    <t>Taxi : mont fleury - bas fleury ( reperage)</t>
  </si>
  <si>
    <t>Taxi : bas fleury - centre ville ( reperage)</t>
  </si>
  <si>
    <t>Taxi : centre ville - zone charden farel ( reperage)</t>
  </si>
  <si>
    <t>Taxi : zone charden farel - tsila ( reperage)</t>
  </si>
  <si>
    <t>Taxi : tsila - centre ville ( reperage)</t>
  </si>
  <si>
    <t>Taxi : centre ville - hotel ( reperage)</t>
  </si>
  <si>
    <t>Taxi : hotel - lissanga (reperage)</t>
  </si>
  <si>
    <t>Taxi : lissanga - bacongo (repérage)</t>
  </si>
  <si>
    <t>Taxi : bacongo - gare routiere (réperage)</t>
  </si>
  <si>
    <t>Taxi : gare routiere - gaya(reperage)</t>
  </si>
  <si>
    <t>Taxi : gaya - charden farel (recuperer fond)</t>
  </si>
  <si>
    <t>Taxi : charden farel - hotel (reperage)</t>
  </si>
  <si>
    <t>Taxi : hotel - zone gare routière ( reperage)</t>
  </si>
  <si>
    <t>Taxi : zone gare routière - centre ville ( reperage)</t>
  </si>
  <si>
    <t>Taxi : centre ville - quartier mangadzi ( reperage)</t>
  </si>
  <si>
    <t>Taxi : quartier mangadzi - lissanga ( reperage)</t>
  </si>
  <si>
    <t>Taxi : lissanga - hotel ( reperage)</t>
  </si>
  <si>
    <t>Taxi : hotel - parking de Bounkou</t>
  </si>
  <si>
    <t>Credit telephonique MTN PALF/ du 15 au 21 septembre 2025/ Investigation/T73</t>
  </si>
  <si>
    <t>Taxi : hotel - gare routière</t>
  </si>
  <si>
    <t>Taxi : gare routière - village mokondo ( prospection)</t>
  </si>
  <si>
    <t>Taxi : village moikondo - gare routière ( prospection)</t>
  </si>
  <si>
    <t>Taxi : gare routière - charden farrel( prospection)</t>
  </si>
  <si>
    <t>Taxi : charden farrel - hotel(fin de journée)</t>
  </si>
  <si>
    <t>récu de causse/T73</t>
  </si>
  <si>
    <t>Taxi : village mokondo - gare routière ( prospection)</t>
  </si>
  <si>
    <t>Taxi : gare routière - hotel ( prospection)</t>
  </si>
  <si>
    <t>Taxi : gare routière - hotel (fin de journée)</t>
  </si>
  <si>
    <t>achat boisson /une cible</t>
  </si>
  <si>
    <t>Taxi : hotel pharaon - marché tsila ( rendez vous avec la cible)</t>
  </si>
  <si>
    <t>Taxi : marché tsila - centre ville ( rendez vous avec la cible)</t>
  </si>
  <si>
    <t>Taxi : centre ville - grand marché (extraction)</t>
  </si>
  <si>
    <t>Taxi : grand marché - mont fleury (extraction)</t>
  </si>
  <si>
    <t>Taxi : mont fleury - charden farell (extraction)</t>
  </si>
  <si>
    <t>Taxi : charden farell - hotel  (fin de journeé)</t>
  </si>
  <si>
    <t>achat boissons deux cible</t>
  </si>
  <si>
    <t>Taxi : hotel pharaon - la gare centrale ( rendez-vous avec la cible)</t>
  </si>
  <si>
    <t>Taxi : la gare centrale - centre ville (extraction)</t>
  </si>
  <si>
    <t>Taxi : centre ville - tsila (extraction)</t>
  </si>
  <si>
    <t>Taxi : tsila - hotel de P29 (extraction)</t>
  </si>
  <si>
    <t>Taxi : hotel de P29 - hotel pharaon (fin de journée)</t>
  </si>
  <si>
    <t>achat boisson/2cible</t>
  </si>
  <si>
    <t>taxi : hotel pharaon - centre ville (rendez - vous avec la cibe)</t>
  </si>
  <si>
    <t>taxi : centre ville - mont fleury (extraction)</t>
  </si>
  <si>
    <t>taxi : mont fleury - la gare centrale(extraction)</t>
  </si>
  <si>
    <t>taxi : la gare centrale - grand marché (extraction)</t>
  </si>
  <si>
    <t>taxi : grand marché - hotel pharaon (fin de journée)</t>
  </si>
  <si>
    <t>achat boissons et nourriture/3 cibles</t>
  </si>
  <si>
    <t>Credit telephonique MTN PALF/ du 29 septembre au 05 octobre 2025/ Investigation/T73</t>
  </si>
  <si>
    <t xml:space="preserve"> Taxi :hotel pharaon - hotel yasmine ( rendez vous avec le coordo)</t>
  </si>
  <si>
    <t xml:space="preserve"> Taxi : hotel yasmine - hotel pharaon( rendez vous avec le coordo)</t>
  </si>
  <si>
    <t>T73-S-R1</t>
  </si>
  <si>
    <t>T73-S-R2</t>
  </si>
  <si>
    <t>T73-S-V1</t>
  </si>
  <si>
    <t>T73-S-V2</t>
  </si>
  <si>
    <t>T73-S-D1</t>
  </si>
  <si>
    <t>T73-S-R3</t>
  </si>
  <si>
    <t>CA-S-R6</t>
  </si>
  <si>
    <t>T73-S-D2</t>
  </si>
  <si>
    <t>T73-S-V3</t>
  </si>
  <si>
    <t>T73-S-D3</t>
  </si>
  <si>
    <t>T73-S-R4</t>
  </si>
  <si>
    <t>T73-S-R5</t>
  </si>
  <si>
    <t>T73-S-R6</t>
  </si>
  <si>
    <t>T73-S-V4</t>
  </si>
  <si>
    <t>T73-S-V5</t>
  </si>
  <si>
    <t>T73-S-V6</t>
  </si>
  <si>
    <t>T73-S-R7</t>
  </si>
  <si>
    <t>T73-S-R8</t>
  </si>
  <si>
    <t>T73-S-R9</t>
  </si>
  <si>
    <t>T73-S-V7</t>
  </si>
  <si>
    <t>T73-S-V8</t>
  </si>
  <si>
    <t>T73-S-V9</t>
  </si>
  <si>
    <t>T73-S-V10</t>
  </si>
  <si>
    <t>T73-S-R10</t>
  </si>
  <si>
    <t>Credit telephonique MTN PALF/du 01 au 07 septembre 2025/IT87</t>
  </si>
  <si>
    <t>Taxi : Bureau - Agence Trans bony/ Achat billet</t>
  </si>
  <si>
    <t>Taxi Agence trans bony - Domicile/ Retour d'achat billet</t>
  </si>
  <si>
    <t>Taxi tricycle : Hôtel - Nkila/ Prospection</t>
  </si>
  <si>
    <t>Taxi tricycle : Nkila - Place publique/ Prospection</t>
  </si>
  <si>
    <t>Achat boisson avec une cible</t>
  </si>
  <si>
    <t>Taxi tricycle : Place publique - Charden Farell/ Retrait d'argent</t>
  </si>
  <si>
    <t>Taxi tricycle : Charden Farel - Rond point/ Prospection</t>
  </si>
  <si>
    <t>Taxi tricycle : Rond point - Av. Midzingou/ Prospection</t>
  </si>
  <si>
    <t>Taxi tricycle : Av. Midzingou - Hôtel/ Retour de Prospection</t>
  </si>
  <si>
    <t>Taxi tricycle : Hôtel - Centre/ Prospection</t>
  </si>
  <si>
    <t>Taxi tricycle : Centre - Marché/ Prospection</t>
  </si>
  <si>
    <t>Taxi tricycle : Marché - Gare routière/ Prospection</t>
  </si>
  <si>
    <t>Taxi tricycle : Gare routière - Hôtel/ Retour de prospection</t>
  </si>
  <si>
    <t>Taxi moto : Ntembele - Centre/ Prospection</t>
  </si>
  <si>
    <t>Taxi moto : Centre - Hôpital de district/ Prospection</t>
  </si>
  <si>
    <t>Taxi moto : Hôpital de district - Mboubou/ Prospection</t>
  </si>
  <si>
    <t>Taxi moto : Mboubou - Centre/ Prospection</t>
  </si>
  <si>
    <t>Taxi tricycle : Rond point - Hôtel/ Retour de prospection</t>
  </si>
  <si>
    <t>Taxi moto : Hôtel - Badondo/ Prospection</t>
  </si>
  <si>
    <t>Taxi moto : Badondo - La gare/ Prospection</t>
  </si>
  <si>
    <t>Taxi moto : La gare - Hôtel/ Retour du terrain</t>
  </si>
  <si>
    <t>Credit telephonique MTN PALF/du 08 au 14 septembre 2025/IT87</t>
  </si>
  <si>
    <t>Taxi moto : Marché - Mouila/ Prospection</t>
  </si>
  <si>
    <t>Taxi moto : Mouila - Terrain gazonné/ Prospection</t>
  </si>
  <si>
    <t>Taxi moto : Terrain gazonné - Agence trans bony/ Achat billet</t>
  </si>
  <si>
    <t>Taxi moto : Agence trans bony - Hôtel/ Retour de prospection</t>
  </si>
  <si>
    <t>Taxi : Domicile - Moungali/ Prospection</t>
  </si>
  <si>
    <t>Taxi : Moungali - Poudrière/ Prospection</t>
  </si>
  <si>
    <t>Taxi : Poudrière - Maëté/ Prospection</t>
  </si>
  <si>
    <t>Taxi : Maëté - Domicile/ Retour de prospection</t>
  </si>
  <si>
    <t>Taxi : Bureau - PK/ Prospection</t>
  </si>
  <si>
    <t>Credit telephonique MTN PALF/du 15 au 21 septembre 2025/IT87</t>
  </si>
  <si>
    <t>Taxi : Domicile - Total/ Prospection</t>
  </si>
  <si>
    <t>Taxi : Total - Nganga Lingolo/ Prospection</t>
  </si>
  <si>
    <t>Taxi : Nganga Lingolo - Madibou/ Prospection</t>
  </si>
  <si>
    <t>Taxi : Madibou  - Domicile/ Retour de prospection</t>
  </si>
  <si>
    <t>Taxi : Domicile - Moukondo/ Prospection</t>
  </si>
  <si>
    <t>Taxi : Moukondo - Nkombo/ Prospection</t>
  </si>
  <si>
    <t>Taxi : Nkombo - Tsiéme/ Prospection</t>
  </si>
  <si>
    <t>Taxi : Tsiéme - Domicile/ retour de prospection</t>
  </si>
  <si>
    <t>Credit telephonique MTN PALF/du 29 septembre au 05 octobre 2025/IT87</t>
  </si>
  <si>
    <t>IT87-S-R1</t>
  </si>
  <si>
    <t>IT87-S-V1</t>
  </si>
  <si>
    <t>IT87-S-D1</t>
  </si>
  <si>
    <t>IT87-S-R2</t>
  </si>
  <si>
    <t>IT87-S-D3</t>
  </si>
  <si>
    <t>IT87-S-D2</t>
  </si>
  <si>
    <t>IT87-S-V2</t>
  </si>
  <si>
    <t>IT87-S-R3</t>
  </si>
  <si>
    <t>IT87-S-R4</t>
  </si>
  <si>
    <t>IT87-S-R5</t>
  </si>
  <si>
    <t>IT87-S-R6</t>
  </si>
  <si>
    <t>IT87-S-R7</t>
  </si>
  <si>
    <t>IT87-S-R8</t>
  </si>
  <si>
    <t>IT87-S-V3</t>
  </si>
  <si>
    <t>IT87-S-R9</t>
  </si>
  <si>
    <t>IT87-S-V4</t>
  </si>
  <si>
    <t>IT87-S-R10</t>
  </si>
  <si>
    <t>Credit telephonique MTN PALF/du 01 au 07 septembre 2025/G12</t>
  </si>
  <si>
    <t>Credit telephonique MTN PALF/du 08 au 14 septembre 2025/G12</t>
  </si>
  <si>
    <t>Taxi: Domicile-la frontière/prospection</t>
  </si>
  <si>
    <t>Taxi: Frontière- Campus/ prospection</t>
  </si>
  <si>
    <t>Taxi:  Campus -Domicile</t>
  </si>
  <si>
    <t>Taxi:  Domicile- Maison blanche / prospection</t>
  </si>
  <si>
    <t>Taxi:   Maison blanche - Mfilou/ prospection</t>
  </si>
  <si>
    <t>Taxi: Mfilou - domicile</t>
  </si>
  <si>
    <t>Taxi:   Domicile - Château d'eau / prospection</t>
  </si>
  <si>
    <t>Taxi : Château d'eau - kisoundi/ prospection</t>
  </si>
  <si>
    <t>Taxi : Kisoundi -domicile</t>
  </si>
  <si>
    <t>Taxi: Domicile - mayanga / prospection</t>
  </si>
  <si>
    <t>Taxi: Mayanga - nganga lingolo /prospection</t>
  </si>
  <si>
    <t>Taxi : Nganga lingolo - domicile</t>
  </si>
  <si>
    <t>Credit telephonique MTN PALF/du 15 au 21 septembre 2025/G12</t>
  </si>
  <si>
    <t>Taxi : Domicile - marché poto poto / prospection</t>
  </si>
  <si>
    <t>Taxi: Marché poto poto - congo pharmacie/ prospection</t>
  </si>
  <si>
    <t>Taxi: Congo pharmacie - marché bacongo/ prospection</t>
  </si>
  <si>
    <t>Taxi : Marché bacongo - domicile</t>
  </si>
  <si>
    <t>Taxi: Domicile - nganga lingolo/ prospection</t>
  </si>
  <si>
    <t>Taxi: Nganga lingolo - mayanga/prospection</t>
  </si>
  <si>
    <t>Taxi: Mayanga- domicile</t>
  </si>
  <si>
    <t>Credit telephonique MTN PALF/du 29 septembre au 05 octobre 2025/G12</t>
  </si>
  <si>
    <t>G12-S-R1</t>
  </si>
  <si>
    <t>G12-S-R2</t>
  </si>
  <si>
    <t>G12-S-V1</t>
  </si>
  <si>
    <t>G12-S-D1</t>
  </si>
  <si>
    <t>G12-S-R3</t>
  </si>
  <si>
    <t>G12-S-V2</t>
  </si>
  <si>
    <t>G12-S-R4</t>
  </si>
  <si>
    <t>Credit telephonique MTN PALF/ du 01 au 07 septembre 2025/Abraham</t>
  </si>
  <si>
    <t>Taxi: Bureau-Charden Farell/Transfert de fonds</t>
  </si>
  <si>
    <t>Frais de tansfert d'argent à Donald-Roméo et Crepin</t>
  </si>
  <si>
    <t>Taxi: Charden Farel-Bureau</t>
  </si>
  <si>
    <t>Taxi: Bureau-DGEF Dépôt des contrats</t>
  </si>
  <si>
    <t>Taxi: DGEF-Bureau</t>
  </si>
  <si>
    <t>Frais de tansfert d'argent à P29, Crepin,T73, IT87 et Donald-Roméo</t>
  </si>
  <si>
    <t>Taxi: Bureau-Station Total Energies Loutassi/Achat carburant</t>
  </si>
  <si>
    <t>Taxi: Station Total Energies Loutassi-Bureau</t>
  </si>
  <si>
    <t>Credit telephonique MTN PALF/ du 08 au 14 septembre 2025/Abraham</t>
  </si>
  <si>
    <t xml:space="preserve">Achat carburant groupe electrogène Bureau </t>
  </si>
  <si>
    <t>Credit telephonique MTN PALF/ du 15 au 21 septembre 2025/Abraham</t>
  </si>
  <si>
    <t>Taxi: Bureau-Cabinet Me. BANZOUZI</t>
  </si>
  <si>
    <t>Taxi: Cabinet Me. BANZOUZI-Domicile</t>
  </si>
  <si>
    <t>Taxi: Domicile-Cabinet Me. BANZOUZI</t>
  </si>
  <si>
    <t>Taxi: Cabinet Me. BANZOUZI- Bureau</t>
  </si>
  <si>
    <t>Taxi: Bureau-DGEF</t>
  </si>
  <si>
    <t>Credit telephonique MTN PALF/ du 29 septembre au 05 octobre 2025/Abraham</t>
  </si>
  <si>
    <t>AB-S-R1</t>
  </si>
  <si>
    <t>AB-S-D1</t>
  </si>
  <si>
    <t>CA-S-R4</t>
  </si>
  <si>
    <t>CA-S-R7</t>
  </si>
  <si>
    <t>AB-S-R2</t>
  </si>
  <si>
    <t>CA-S-R8</t>
  </si>
  <si>
    <t>CA-S-R13</t>
  </si>
  <si>
    <t>AB-S-R3</t>
  </si>
  <si>
    <t>CA-S-R19</t>
  </si>
  <si>
    <t>AB-S-R4</t>
  </si>
  <si>
    <t>Taxi-moto:Hôtel Mithe-TGI de Ouesso</t>
  </si>
  <si>
    <t>Taxi-moto:TGI-Hôtel Mithe</t>
  </si>
  <si>
    <t>Achat billet Impfondo-Brazzaville/ Roderlin</t>
  </si>
  <si>
    <t>RODERLIN-CONGO Ration du 01 au 07/09/2025 à Impfondo (06 nuitées)</t>
  </si>
  <si>
    <t>Credit telephonique MTN PALF/du 01 au 07 Septembre 2025/Roderlin</t>
  </si>
  <si>
    <t>Taxi-moto:Hôtel Mithe-Charden Farrel</t>
  </si>
  <si>
    <t xml:space="preserve">Taxi-moto:Charden Farrel-Hôtel Mithe </t>
  </si>
  <si>
    <t>RODERLIN-CONGO Frais d'hôtel du 30/08/ au 05/09/2025 à Impfondo (06 nuitée)</t>
  </si>
  <si>
    <t xml:space="preserve">Tax-moto:Hôtel Mithe-Agence Océan du nord </t>
  </si>
  <si>
    <t>RODERLIN-CONGO Frais d'hôtel du 05 au 06/09/2025 à Enyele (01 nuitée)</t>
  </si>
  <si>
    <t>Taxi-moto:Agence Océan du nord de Gamboma-Hôtel Baobab</t>
  </si>
  <si>
    <t>RODERLIN-CONGO Frais d'hôtel du 06 au 07/09/2025 à Gamboma (01 nuitée)</t>
  </si>
  <si>
    <t xml:space="preserve">Taxi-moto:Hôtel Baobab-Agence Océan du nord </t>
  </si>
  <si>
    <t xml:space="preserve">Taxi:Agence Océan du nord de la liberté-Domicile </t>
  </si>
  <si>
    <t>Credit telephonique MTN PALF/du 08 au 14 Septembre 2025/Roderlin</t>
  </si>
  <si>
    <t>Taxi:Bureau-Cabinet BANZOUZI pour la vérification de la disponibilité du rapport de mission</t>
  </si>
  <si>
    <t>Taxi:Bureau-Cabinet BANZOUZI pour le rétrait du rapport de mission</t>
  </si>
  <si>
    <t>Taxi:Bureau-Agence énergie électrique du Congo</t>
  </si>
  <si>
    <t>Taxi:Agence énergie électrique du Congo-Bureau</t>
  </si>
  <si>
    <t>Réglement facture électricité periode Juillet-Aôut 2025/bureau PALF</t>
  </si>
  <si>
    <t>Credit telephonique MTN PALF/du 15 au 21 Septembre 2025/Roderlin</t>
  </si>
  <si>
    <t>Taxi:Bureau-Station 10 maisons pour achat du carburant</t>
  </si>
  <si>
    <t xml:space="preserve">Taxi:Station 10 maisons- Station NGANGA Edouard </t>
  </si>
  <si>
    <t>Station NGANGA Edouard-Station Rond-point de moungali</t>
  </si>
  <si>
    <t>Taxi:Station rond-point moungali-Station marché moungali</t>
  </si>
  <si>
    <t>Taxi:Marché moungali-Bureau</t>
  </si>
  <si>
    <t>Credit telephonique MTN PALF/du 29 Septembre au 05 octobre 2025/Roderlin</t>
  </si>
  <si>
    <t>RO-S-D1</t>
  </si>
  <si>
    <t>RO-S-R1</t>
  </si>
  <si>
    <t>RO-S-V1</t>
  </si>
  <si>
    <t>RO-S-D2</t>
  </si>
  <si>
    <t>RO-S-R2</t>
  </si>
  <si>
    <t>RO-S-R3</t>
  </si>
  <si>
    <t>RO-S-R4</t>
  </si>
  <si>
    <t>RO-S-R5</t>
  </si>
  <si>
    <t>RO-S-R6</t>
  </si>
  <si>
    <t>CA-S-R12</t>
  </si>
  <si>
    <t>RO-S-V2</t>
  </si>
  <si>
    <t>RO-S-R7</t>
  </si>
  <si>
    <t>CA-S-R15</t>
  </si>
  <si>
    <t>RO-S-R8</t>
  </si>
  <si>
    <t>Taxi moto Hôtel Mithé-TGI/ Suivi d'audience</t>
  </si>
  <si>
    <t>Taxi moto TGI- Agence Océan du Nord/ Pour la reservation des billets</t>
  </si>
  <si>
    <t>Credit telephonique MTN PALF/du 01 au 07 septembre 2025</t>
  </si>
  <si>
    <t>Taxi moto Agence Océan du Nord-Hôtel Mithé</t>
  </si>
  <si>
    <t>Achat billet Imfondo-Brazzaville/ Donald-Roméo</t>
  </si>
  <si>
    <t>Donald-Roméo CONGO Ration  du  02 au 14/09/2025 à Oyo, Impfondo et  Enyellé/ Donald-Roméo</t>
  </si>
  <si>
    <t>Taxi moto Hôtel Mithé-Charden farell/ Retrait de fonds</t>
  </si>
  <si>
    <t>Taxi moto Hôtel Mithé- Agence Océan du Nord/ Pour le repport des billets</t>
  </si>
  <si>
    <t>Taxi moto Hôtel Mithé-Region de gendarmerie/ Rencontrer le CEMREG</t>
  </si>
  <si>
    <t>Taxi moto Gendarmerie- Hôtel Mithé</t>
  </si>
  <si>
    <t>Taxi moto Bankandi- Hôtel Mithé/ Après l'achat du carburant</t>
  </si>
  <si>
    <t>Taxi moto Hôtel Mithé-Bankandi/ Boutique/ Achat rafraîchissement</t>
  </si>
  <si>
    <t>Taxi moto Bankandi- Hôtel Mithé</t>
  </si>
  <si>
    <t>Taxi moto Gendarmerie- Hôtel Mithé/ Après Dongou</t>
  </si>
  <si>
    <t>Credit telephonique MTN PALF/du 08 au 14 septembre 2025</t>
  </si>
  <si>
    <t>Taxi moto Hôtel Mithé-Gengarmerie/ Rencontrer le CEMRG</t>
  </si>
  <si>
    <t>Taxi moto Gendarmerie-Charden farell/ Retrait de fonds</t>
  </si>
  <si>
    <t>Taxi moto Charden farell-Agence Océan du Nord/ Regulariser les billets</t>
  </si>
  <si>
    <t>Taxi moto Hôtel Mithé Océan du Nord/ Formalités</t>
  </si>
  <si>
    <t>Donald-Roméo CONGO Frais d'hôtel/  27 Nuitées du 16/08 au 12/09/2025 à Impfondo (Hôtel  Mithé)</t>
  </si>
  <si>
    <t>Taxi moto Hôtel Mithé-Agence océan du Nord/ Pour Brazzaville</t>
  </si>
  <si>
    <t>Taxi moto agence océan du Nord- Hôtel Paulina/ A Enyellé</t>
  </si>
  <si>
    <t>Donald-Roméo CONGO Frais d'hôtel/  01 Nuitée du 12 au 13/09/2025 à Enyellé (Hôtel  Paulina)</t>
  </si>
  <si>
    <t>Taxi moto  Hôtel Paulina-agence océan du Nord</t>
  </si>
  <si>
    <t>Taxi moto agence océan du Nord-Hôtel Baobab</t>
  </si>
  <si>
    <t>Donald-Roméo CONGO Frais d'hôtel/  01 Nuitée du 13 au 14/09/2025 à Gamboma (Hôtel  Baobab)</t>
  </si>
  <si>
    <t>Taxi moto Hôtel Baobad-Agence Océan du Nord de Gamboma/ Pour Brazzaville</t>
  </si>
  <si>
    <t>Taxi Agence Ocean du Nord de Talangaï- Domicile</t>
  </si>
  <si>
    <t>Credit telephonique MTN PALF/ du 15 au 21 septembre 2025</t>
  </si>
  <si>
    <t>Taxi Domicile-Bureau/ Pour une eventuelle mission</t>
  </si>
  <si>
    <t>Taxi Bureau-Domicile</t>
  </si>
  <si>
    <t>Taxi Domicile-Bureau/ Pour preparer la mission sur Dolisie</t>
  </si>
  <si>
    <t>Achat billet Brazzaville-Dolisie/ Donald-Roméo</t>
  </si>
  <si>
    <t>Taxi Domicile-Agence Trans Bony de la frontière/ Pour Dolisie</t>
  </si>
  <si>
    <t>Credit telephonique MTN PALF/ du 29 au 05  septembre 2025</t>
  </si>
  <si>
    <t>Taxi Agence Trans Bony de Dolisie-Hôtel Yasmine/ Crepin/ Evariste/Dovi/Donald</t>
  </si>
  <si>
    <t>Donald-Roméo CONGO Ration  du  29/09 au 05/10/2025 à Dolisie</t>
  </si>
  <si>
    <t>DR-S-D1</t>
  </si>
  <si>
    <t>DR-S-R1</t>
  </si>
  <si>
    <t>DR-S-R2</t>
  </si>
  <si>
    <t>DR-S-D2</t>
  </si>
  <si>
    <t>DR-S-V1</t>
  </si>
  <si>
    <t>DR-S-V2</t>
  </si>
  <si>
    <t>DR-S-R3</t>
  </si>
  <si>
    <t>DR-S-V3</t>
  </si>
  <si>
    <t>DR-S-R4</t>
  </si>
  <si>
    <t>DR-S-R5</t>
  </si>
  <si>
    <t>DR-S-R6</t>
  </si>
  <si>
    <t>DR-S-V4</t>
  </si>
  <si>
    <t>DR-S-R7</t>
  </si>
  <si>
    <t>DR-S-V5</t>
  </si>
  <si>
    <t>DR-S-R8</t>
  </si>
  <si>
    <t>DR-S-R9</t>
  </si>
  <si>
    <t>DR-S-D3</t>
  </si>
  <si>
    <t>Achat billet Impfondo-Brazzaville</t>
  </si>
  <si>
    <t>Credit telephonique MTN PALF/du 01 au 07 septembre 2025/ Evariste</t>
  </si>
  <si>
    <t>Taxi, Agence Océan du Nord de Talangaï-Domicile</t>
  </si>
  <si>
    <t>Recu de la caisse/ Evariste</t>
  </si>
  <si>
    <t>Taxi, Les dépêches de Brazzaville-Agence Congolaise d'information</t>
  </si>
  <si>
    <t>Taxi, Agence Congolaise d'Information-Radio Citoyenne des Jeunes</t>
  </si>
  <si>
    <t>Taxi, Radio Citoyenne des jeunes-groupecongomedias.com</t>
  </si>
  <si>
    <t>Taxi, tribune-eco.com-Bureau PALF</t>
  </si>
  <si>
    <t>Bonus media portant sur l'interpelation d'une trafiquante de produit de faune le 25 août 2025 à Impfondo  pièces presse Internet (https://www.panoramik-actu.com)</t>
  </si>
  <si>
    <t>Bonus media portant sur l'interpelation d'une trafiquante de produit de faune le 25 août 2025 à Impfondo pièces presse Internet (https://www.tribune-eco.cg)</t>
  </si>
  <si>
    <t>Bonus media portant sur l'interpelation d'une trafiquante de produit de faune le 25 août 2025 à Impfondo pièces presse Internet (https://www.groupecongomedias.com)</t>
  </si>
  <si>
    <t>Bonus media portant sur l'interpelation d'une trafiquante de produit de faune le 25 août 2025 à Impfondo pièces presse Internet (https://www.labreveonline.com)</t>
  </si>
  <si>
    <t>Bonus media portant sur l'interpelation d'une trafiquante de produit de faune le 25 août 2025 à Impfondo pièces presse Internet (https://www.adiac-congo.com)</t>
  </si>
  <si>
    <t>Bonus media portant sur l'interpelation d'une trafiquante de produit de faune le 25 août 2025 à Impfondo pièces presse Internet (https://www.lasemaineafricaine.info)</t>
  </si>
  <si>
    <t>Bonus media portant sur l'interpelation d'une trafiquante de produit de faune le 25 août 2025 à Impfondo pièces presse Internet (https://www.matinlibre.cg)</t>
  </si>
  <si>
    <t>Bonus media portant sur l'interpelation d'une trafiquante de produit de faune le 25 août 2025 à Impfondo pièces presse Internet (https://www.firstmediac.com)</t>
  </si>
  <si>
    <t>Bonus media portant sur l'interpelation d'une trafiquante de produit de faune le 25 août 2025 à Impfondo pièces presse Internet (https://www.journaldebrazza.com)</t>
  </si>
  <si>
    <t>Bonus media portant sur l'interpelation d'une trafiquante de produit de faune le 25 août 2025 à Impfondo pièces presse Internet (https://vmmedias.info)</t>
  </si>
  <si>
    <t>Bonus media portant sur l'interpelation d'une trafiquante de produit de faune le 25 août 2025 à Impfondo pièces presse Internet (https://aci.cg)</t>
  </si>
  <si>
    <t>Bonus media portant sur l'interpelation d'une trafiquante de produit de faune le 25 août 2025 à Impfondo pièces presse Internet (https://lesechos-congobrazza.com/)</t>
  </si>
  <si>
    <t>Bonus media portant sur l'interpelation d'une trafiquante de produit de faune le 25 août 2025 à Impfondo pièces presse Internet (https://opinionpublique.cg)</t>
  </si>
  <si>
    <t>Bonus media portant sur l'interpelation d'une trafiquante de produit de faune le 25 août 2025 à Impfondo pièces presse Internet (https://www.lhorizonafricain.com)</t>
  </si>
  <si>
    <t>Bonus media portant sur l'interpelation d'une trafiquante de produit de faune le 25 août 2025 à Impfondo pièces presse Papier (Dépêches de Brazzaville)</t>
  </si>
  <si>
    <t>Bonus media portant sur l'interpelation d'une trafiquante de produit de faune le 25 août 2025 à Impfondo pièces presse Papier (la semaine Africaine)</t>
  </si>
  <si>
    <t>Bonus media portant sur l'interpelation d'une trafiquante de produit de faune le 25 août 2025 à Impfondo pièces presse Papier( l'horizon Africain)</t>
  </si>
  <si>
    <t>Bonus media portant sur l'interpelation d'une trafiquante de produit de faune le 25 août 2025 à Impfondo pièces presse Papier (l'Agence congolaise de l'information)</t>
  </si>
  <si>
    <t>Bonus media portant sur l'interpelation d'une trafiquante de produit de faune le 25 août 2025 à Impfondo pièces presse Radio (radio citoyenne des jeunes)</t>
  </si>
  <si>
    <t>Bonus media portant sur l'interpelation d'une trafiquante de produit de faune le 25 août 2025 à Impfondo pièces presse Radio (radioLiberté français)</t>
  </si>
  <si>
    <t>Bonus media portant sur l'interpelation d'une trafiquante de produit de faune le 25 août 2025 à Impfondo pièces presse Radio (radioLiberté kituba)</t>
  </si>
  <si>
    <t>Bonus media portant sur l'interpelation d'une trafiquante de produit de faune le 25 août 2025 à Impfondo pièces presse Radio (radioLiberté lingala)</t>
  </si>
  <si>
    <t>Taxi, Bureau PALF-firstmedias.com</t>
  </si>
  <si>
    <t>Taxi, firstmedias.com-Radio Liberté</t>
  </si>
  <si>
    <t>Taxi, Radio Liberté-La Semaine Africaine</t>
  </si>
  <si>
    <t>Taxi, La Semaine Africaine-Bureau PALF</t>
  </si>
  <si>
    <t>Credit telephonique MTN PALF/du 08 au 14 septembre 2025/ Evariste</t>
  </si>
  <si>
    <t>Bonus opération du 25/08/2025 à Impfondo/Evariste</t>
  </si>
  <si>
    <t>Credit telephonique MTN PALF/du 15 au 21 septembre 2025/ Evariste</t>
  </si>
  <si>
    <t>Achat billet Brazzaville-Dolisie</t>
  </si>
  <si>
    <t>Taxi, Domicile-Agence Trans Bony de Brazzaville</t>
  </si>
  <si>
    <t>Credit telephonique MTN PALF/du 29 septembre au 05 octobre 2025/ Evariste</t>
  </si>
  <si>
    <t>EV-S-R1</t>
  </si>
  <si>
    <t>EV-S-R2</t>
  </si>
  <si>
    <t>EV-S-D1</t>
  </si>
  <si>
    <t>EV-S-R3</t>
  </si>
  <si>
    <t>EV-S-R4</t>
  </si>
  <si>
    <t>EV-S-R5</t>
  </si>
  <si>
    <t>EV-S-V1</t>
  </si>
  <si>
    <t>CA-S-D1</t>
  </si>
  <si>
    <t>CA-S-D2</t>
  </si>
  <si>
    <t>CA-S-D3</t>
  </si>
  <si>
    <t>EV-S-R6</t>
  </si>
  <si>
    <t>EV-S-R7</t>
  </si>
  <si>
    <t>CA-S-D4</t>
  </si>
  <si>
    <t>EV-S-R8</t>
  </si>
  <si>
    <t>EV-S-V2</t>
  </si>
  <si>
    <t>EV-S-R9</t>
  </si>
  <si>
    <t>EV-S-R10</t>
  </si>
  <si>
    <t>EV-S-D2</t>
  </si>
  <si>
    <t>Credit telephonique MTN PALF/du 01 au 07 Septembre 2025/Romain</t>
  </si>
  <si>
    <t>Credit telephonique MTN PALF/du 08 au 14 Septembre 2025/Romain</t>
  </si>
  <si>
    <t>Frais de tansfert d'argent à Crepin</t>
  </si>
  <si>
    <t>Taxi: Bureau-Charden Farell</t>
  </si>
  <si>
    <t>Taxi: Bureau-Direction Générale de l'Economie Forestière</t>
  </si>
  <si>
    <t>Taxi: Direction Générale de l'Economie Forestière-Bureau</t>
  </si>
  <si>
    <t>Taxi: Bureau-Charden Farrell(pour le transfert des fonds)</t>
  </si>
  <si>
    <t>Réçu Casse/Jean Romain</t>
  </si>
  <si>
    <t>Frais de tansfert d'argent à Crepin, Donald-Roméo, P29</t>
  </si>
  <si>
    <t>Taxi: Bureau-Cabinet Maitre BANZOUZI</t>
  </si>
  <si>
    <t>Taxi:Cabinet de Maitre BANZOUZI-Bureau</t>
  </si>
  <si>
    <t>Credit telephonique MTN PALF/du 15 au 21 Septembre 2025/Romain</t>
  </si>
  <si>
    <t>Frais de tansfert d'argent àl'informateur en RDC</t>
  </si>
  <si>
    <t>Taxi: Cabinet Maitre BANZOUZI-Domicile</t>
  </si>
  <si>
    <t>Taxi: Bureau-Station PUMA Service pour l'achat du carburant</t>
  </si>
  <si>
    <t>Taxi: Station PUMA Service</t>
  </si>
  <si>
    <t>Credit telephonique MTN PALF/du 29 Septembre au 05 Octobre 2025/Romain</t>
  </si>
  <si>
    <t>RM-S-R1</t>
  </si>
  <si>
    <t>RM-S-D1</t>
  </si>
  <si>
    <t>RM-S-R2</t>
  </si>
  <si>
    <t>CA-S-R9</t>
  </si>
  <si>
    <t>RM-S-V1</t>
  </si>
  <si>
    <t>CA-S-R10</t>
  </si>
  <si>
    <t>CA-S-R11</t>
  </si>
  <si>
    <t>RM-S-R3</t>
  </si>
  <si>
    <t>CA-S-R16</t>
  </si>
  <si>
    <t>CA-S-R17</t>
  </si>
  <si>
    <t>CA-S-R23</t>
  </si>
  <si>
    <t>RM-S-R4</t>
  </si>
  <si>
    <t>BCI3654428</t>
  </si>
  <si>
    <t>CA-S-V2</t>
  </si>
  <si>
    <t xml:space="preserve">Achat credit  teléphonique MTN/PALF/DU 01 au 07/09/2025 </t>
  </si>
  <si>
    <t>CA-S-V3</t>
  </si>
  <si>
    <t>CA-S-V4</t>
  </si>
  <si>
    <t>CA-S-V5</t>
  </si>
  <si>
    <t>CA-S-V6</t>
  </si>
  <si>
    <t>CA-S-V7</t>
  </si>
  <si>
    <t>CA-S-V8</t>
  </si>
  <si>
    <t>CA-S-V9</t>
  </si>
  <si>
    <t>CA-S-V10</t>
  </si>
  <si>
    <t>CA-S-V11</t>
  </si>
  <si>
    <t>CA-S-V12</t>
  </si>
  <si>
    <t>CA-S-V13</t>
  </si>
  <si>
    <t>CA-S-V14</t>
  </si>
  <si>
    <t>CA-S-V15</t>
  </si>
  <si>
    <t>CA-S-V16</t>
  </si>
  <si>
    <t>CA-S-V17</t>
  </si>
  <si>
    <t>CA-S-V18</t>
  </si>
  <si>
    <t>CA-S-V19</t>
  </si>
  <si>
    <t xml:space="preserve">Achat credit  teléphonique MTN/PALF/DU 08 au 14/09/2025 </t>
  </si>
  <si>
    <t>CA-S-V20</t>
  </si>
  <si>
    <t>CA-S-V21</t>
  </si>
  <si>
    <t>CA-S-V22</t>
  </si>
  <si>
    <t>CA-S-V23</t>
  </si>
  <si>
    <t>CA-S-V24</t>
  </si>
  <si>
    <t>CA-S-V25</t>
  </si>
  <si>
    <t>CA-S-V26</t>
  </si>
  <si>
    <t>CA-S-V27</t>
  </si>
  <si>
    <t>CA-S-V28</t>
  </si>
  <si>
    <t>CA-S-V29</t>
  </si>
  <si>
    <t>CA-S-V30</t>
  </si>
  <si>
    <t>CA-S-V31</t>
  </si>
  <si>
    <t>BCI3654433</t>
  </si>
  <si>
    <t>CA-S-V32</t>
  </si>
  <si>
    <t>CA-S-V33</t>
  </si>
  <si>
    <t>CA-S-V34</t>
  </si>
  <si>
    <t>CA-S-V35</t>
  </si>
  <si>
    <t>CA-S-V36</t>
  </si>
  <si>
    <t>BCI3654437</t>
  </si>
  <si>
    <t>CA-S-V37</t>
  </si>
  <si>
    <t>CA-S-V38</t>
  </si>
  <si>
    <t>CA-S-V39</t>
  </si>
  <si>
    <t>CA-S-V40</t>
  </si>
  <si>
    <t>CA-S-V41</t>
  </si>
  <si>
    <t>CA-S-V42</t>
  </si>
  <si>
    <t>CA-S-V43</t>
  </si>
  <si>
    <t>CA-S-V44</t>
  </si>
  <si>
    <t>WESTEN UNION 625-246-6421( Jana) et WESTEN UNION 420-414-4729(lydia  Ouganda)</t>
  </si>
  <si>
    <t>CA-S-V45</t>
  </si>
  <si>
    <t>CA-S-V46</t>
  </si>
  <si>
    <t>CA-S-V47</t>
  </si>
  <si>
    <t>CA-S-V48</t>
  </si>
  <si>
    <t>CA-S-V49</t>
  </si>
  <si>
    <t>CA-S-V50</t>
  </si>
  <si>
    <t>CA-S-V51</t>
  </si>
  <si>
    <t xml:space="preserve">Achat credit  teléphonique MTN/PALF/DU 29/09 au 05/10/2025 </t>
  </si>
  <si>
    <t>BCI3654401</t>
  </si>
  <si>
    <t>CA-S-V52</t>
  </si>
  <si>
    <t xml:space="preserve"> Envois d'argent WESTEN UNION Jana et Lydia</t>
  </si>
  <si>
    <t>CA-S-V53</t>
  </si>
  <si>
    <t>CA-S-V54</t>
  </si>
  <si>
    <t>Report au 01/09/2025</t>
  </si>
  <si>
    <t>Retrait espèces/36544428</t>
  </si>
  <si>
    <t>Reglement honoraire du mois de de d'Août 2025/P29/3654429</t>
  </si>
  <si>
    <t>Reglement honoraire du mois d'Août 2025/T73/3654430</t>
  </si>
  <si>
    <t>Reglement Facture Gardiennage Mois d'Août 2025/365443654431</t>
  </si>
  <si>
    <t>Retrait espèces/36544432</t>
  </si>
  <si>
    <t>Retrait espèces/3654433</t>
  </si>
  <si>
    <t>Acompte honoraire contrat N°85 Impfondo cas MOUKOA Clarisse/Maitre  Alain BAZOUNZI/ 3654434</t>
  </si>
  <si>
    <t>Paiement Honoraire Me LOCKO/Mois d'Août  2025/3654435</t>
  </si>
  <si>
    <t>Retrait espèces/3654437</t>
  </si>
  <si>
    <t>RAPATRIEME01100 RAO00010914/Fondation Wildcat</t>
  </si>
  <si>
    <t>RAPATRIEME01100 RAO00010914/Fondation de la Famille Dahan(DFF)</t>
  </si>
  <si>
    <t>RAPATRIEME01100 RAO00010914/Fondation OAT</t>
  </si>
  <si>
    <t>Retrait espèces/36544401</t>
  </si>
  <si>
    <t>Report de solde du 01/09/2025</t>
  </si>
  <si>
    <t>BQ-S-V2</t>
  </si>
  <si>
    <t>BQ-S-R1</t>
  </si>
  <si>
    <t>BQ-S-R2</t>
  </si>
  <si>
    <t>BQ-S-R3</t>
  </si>
  <si>
    <t>BQ-S-R4</t>
  </si>
  <si>
    <t>BQ-S-V3</t>
  </si>
  <si>
    <t>BQ-S-V4</t>
  </si>
  <si>
    <t>BQ-S-R5</t>
  </si>
  <si>
    <t>BQ-S-R6</t>
  </si>
  <si>
    <t>BQ-S-V5</t>
  </si>
  <si>
    <t>BQ-S-G1</t>
  </si>
  <si>
    <t>BQ-S-G2</t>
  </si>
  <si>
    <t>BQ-S-G3</t>
  </si>
  <si>
    <t>BQ-S-V6</t>
  </si>
  <si>
    <t xml:space="preserve">Septembre </t>
  </si>
  <si>
    <t>sept</t>
  </si>
  <si>
    <r>
      <t>Balance as per the</t>
    </r>
    <r>
      <rPr>
        <b/>
        <sz val="12"/>
        <color rgb="FFFF0000"/>
        <rFont val="Aptos Narrow"/>
        <family val="2"/>
        <scheme val="minor"/>
      </rPr>
      <t xml:space="preserve"> accounting</t>
    </r>
  </si>
  <si>
    <t>IT87-S-R11</t>
  </si>
  <si>
    <t>DH-S-D2</t>
  </si>
  <si>
    <t xml:space="preserve">Repas pour les elements  pour la mission de Dangou </t>
  </si>
  <si>
    <t>CREPIN-CONGO Frais d'hôtel Crépin  du 25/08/ au 12/09/2025 à Impfondo (18 Nuitées)</t>
  </si>
  <si>
    <t>CREPIN-CONGO Frais d'hôtel Crépin du 12 au 13/09/2025 à Enyellé (01 Nuitée)</t>
  </si>
  <si>
    <t>CREPIN- CONGO Frais d'hôtel Crépin du 13 au 14/09/2025 à Gamboma (01 Nuitée)</t>
  </si>
  <si>
    <t>Plats pour les éléments pendant la mission de Dangou</t>
  </si>
  <si>
    <t>DOVI- CONGO Ration du 29/09 au 02/ 10/ 2025 à Dolisie</t>
  </si>
  <si>
    <t>Achat billet Impfondo-Brazzaville/Evariste</t>
  </si>
  <si>
    <t xml:space="preserve">EVARISTE-CONGO Frais de l'hôtel Mithé du 16 août au 01 septembre 2025 à Impfondo( 16 nuitées) </t>
  </si>
  <si>
    <t xml:space="preserve">EVARISTE-CONGO Frais de l'hôtel  à Enyellé ( 01 nuitée) </t>
  </si>
  <si>
    <t xml:space="preserve">EVARISTE- CONGO Frais de l'hôtel du 02 au 03/09/2025  à Gamboma (01 nuitée) </t>
  </si>
  <si>
    <t>Achat billet Brazzaville-Dolisie/ Evariste</t>
  </si>
  <si>
    <t>EVARISTE- CONGO Ration du 29 septembre au 05 octobre 2025 à Dolisie</t>
  </si>
  <si>
    <t>achat boisson a une cibles</t>
  </si>
  <si>
    <t>CREPIN- CONGO Frais d'hôtel Crépin à Impfondo du 25/08/ au 12/09/2025 (18 Nuitées)</t>
  </si>
  <si>
    <t>CREPIN-CONGO Frais d'hôtel Crépin du 12 au 13/09/2025 à Enyellé (01 Nuitées)</t>
  </si>
  <si>
    <t>Reçu de caisse/T73</t>
  </si>
  <si>
    <t xml:space="preserve">EVARISTE- CONGO Frais de l'hôtel  à Impfondo du 16 août au 01 septembre 2025 ( 16 nuitées) </t>
  </si>
  <si>
    <t xml:space="preserve">Evariste- CONGO Frais de l'hôteldu 01 au 02/09/2025 à Enyellé ( une nuitée) </t>
  </si>
  <si>
    <t xml:space="preserve">EVARISTE- CONGO Frais de l'hôtel du 02 au 03/09/2025 à Gamboma ( une nuitée) </t>
  </si>
  <si>
    <t>Reçu de la caisse/ Evariste</t>
  </si>
  <si>
    <t>EVARISTE- CONGO Ration du 29 septembre au 05 octobre 2025/ à Dolisie</t>
  </si>
  <si>
    <t>Solde au 1/09/2025</t>
  </si>
  <si>
    <t>Solde  au 01/09/2025</t>
  </si>
  <si>
    <t xml:space="preserve">Plats  pour les elements de  la mission de Dangou </t>
  </si>
  <si>
    <t>CREPIN-CONGO Frais d'hôtel Crépin  du 25/08/ au 12/09/2025à Impfondo (18 Nuitées)</t>
  </si>
  <si>
    <t>CREPIN-CONGO Frais d'hôtel   du 12 au 13/09/2025 à Enyellé ( 01 Nuitée)</t>
  </si>
  <si>
    <t>CREPIN-CONGO Frais d'hôtel  du 13 au 14/09/2025 à Gamboma (01 Nuitée)</t>
  </si>
  <si>
    <t xml:space="preserve">EVARISTE-CONGO Frais de l'hôtel du 16 août au 01 septembre 2025 à Impfondo ( 16 nuitées) </t>
  </si>
  <si>
    <t xml:space="preserve">EVARISTE-CONGOFrais de l'hôtel du 02 au 03 septembre 2025 à Gamboma ( une nuitée) </t>
  </si>
  <si>
    <t xml:space="preserve">EVARISTE-CONGO Frais de l'hôtel du 01 au 02 septembre  à Enyellé ( une nuitée) </t>
  </si>
  <si>
    <t>Evariste- CONGO Ration du 29 septembre au 05 octobre 2025 à Dolisie</t>
  </si>
  <si>
    <t>FINANCIAL POSITION AT 30/09/2025</t>
  </si>
  <si>
    <t>FINANCIAL POSITION AT 01/09/2025</t>
  </si>
  <si>
    <t>30/09/2025 of the month  Balance and advance</t>
  </si>
  <si>
    <t>01/09/2025 of the month Balance and advance</t>
  </si>
  <si>
    <t>Achat billet: / G12</t>
  </si>
  <si>
    <t xml:space="preserve"> G12 - CONGO frais d'hotel </t>
  </si>
  <si>
    <t>Achat billet :/G12</t>
  </si>
  <si>
    <t>G12 congo frais d'hotel (2nuitées)</t>
  </si>
  <si>
    <t>G12 - CONGO frais d'hotel (2nuitées)</t>
  </si>
  <si>
    <t>Achat du billet /G12</t>
  </si>
  <si>
    <t>G12-CONGO frais d'hotel ( 1 nuitée)</t>
  </si>
  <si>
    <t>G12 - CONGO frais d'hotel ( 1 nuitée)</t>
  </si>
  <si>
    <t>Achat billet : /G12</t>
  </si>
  <si>
    <t xml:space="preserve">G12 - CONGO  Ration </t>
  </si>
  <si>
    <t>Achat billet: /G12</t>
  </si>
  <si>
    <t>G12 Congo frais d'hotel(3 nuitées)</t>
  </si>
  <si>
    <t>Achat billet /G12</t>
  </si>
  <si>
    <t>Achat billet / G12</t>
  </si>
  <si>
    <t>G12-CONGO  frais d'hotel (2nuitées)</t>
  </si>
  <si>
    <t>Achat billet/G12</t>
  </si>
  <si>
    <t>G12 CONGO frais d'hotel</t>
  </si>
  <si>
    <t xml:space="preserve">G12 - GONGO Ration </t>
  </si>
  <si>
    <t xml:space="preserve">G12 - CONGO Frais d'hotel  (15 Nuitées) </t>
  </si>
  <si>
    <t xml:space="preserve">G12 - CONGO Frais d'hotel </t>
  </si>
  <si>
    <t>G12-CONGO Ration</t>
  </si>
  <si>
    <t xml:space="preserve">G12-CONGO Frais d'hotel </t>
  </si>
  <si>
    <t xml:space="preserve">G12-CONGO frais d'hotel </t>
  </si>
  <si>
    <t>Achat billet  /G12</t>
  </si>
  <si>
    <t xml:space="preserve">G12-CONGO Frais d'hotel  </t>
  </si>
  <si>
    <t>G12-CONGO Frais d'hotel</t>
  </si>
  <si>
    <t xml:space="preserve">G12-CONGO Rations </t>
  </si>
  <si>
    <t xml:space="preserve">G12-CONGO Frais d'hôtel </t>
  </si>
  <si>
    <t>Achat bilet /G12</t>
  </si>
  <si>
    <t>Achat billet   /G12</t>
  </si>
  <si>
    <t>achat billet /G12</t>
  </si>
  <si>
    <t>G12-CONGO Achat billet</t>
  </si>
  <si>
    <t xml:space="preserve">G12-CONGO Ration </t>
  </si>
  <si>
    <t>Taxi: Hotel- quartier</t>
  </si>
  <si>
    <t>Taxi: marché  - fond de</t>
  </si>
  <si>
    <t xml:space="preserve">Taxi : Fond  - charden farell </t>
  </si>
  <si>
    <t>G12- CONGO Achat billet</t>
  </si>
  <si>
    <t xml:space="preserve">G12-CONGO Achat billet </t>
  </si>
  <si>
    <t xml:space="preserve">CONGO frais d'hôtel </t>
  </si>
  <si>
    <t xml:space="preserve">Taxi : Hotel- agence / achat billet </t>
  </si>
  <si>
    <t>Taxi: Domicile - marché   / prospection</t>
  </si>
  <si>
    <t>G12 - CONGO Food Allowance</t>
  </si>
  <si>
    <t>IT87 - CONGO Food Allowance /(08 Nuitées)</t>
  </si>
  <si>
    <t>Achat billet / IT87</t>
  </si>
  <si>
    <t>Taxi : Achat billet /IT87</t>
  </si>
  <si>
    <t>IT87 - CONGO Frais d'hôtel</t>
  </si>
  <si>
    <t xml:space="preserve">IT87 - CONGO Frais d'hôtel </t>
  </si>
  <si>
    <t>IT87 - CONGO Ration</t>
  </si>
  <si>
    <t>Achat billet/ IT87</t>
  </si>
  <si>
    <t xml:space="preserve">IT87 - CONGOFrais d'hôtel </t>
  </si>
  <si>
    <t>IT87 - CONGO Frais d'hôtel )</t>
  </si>
  <si>
    <t xml:space="preserve">IT87 - CONGO Ration </t>
  </si>
  <si>
    <t xml:space="preserve">IT87- CONGO Frais d'hôtel </t>
  </si>
  <si>
    <t xml:space="preserve">IT87 - CONGO Ration  </t>
  </si>
  <si>
    <t xml:space="preserve">IT87 - CONGO Frais d'hôtel  </t>
  </si>
  <si>
    <t xml:space="preserve">IT87-CONGO Ration </t>
  </si>
  <si>
    <t xml:space="preserve">IT87-CONGO Frais d'hôtel </t>
  </si>
  <si>
    <t xml:space="preserve">IT87-CONGO Frais d'hôtel  </t>
  </si>
  <si>
    <t>Taxi : Domicile/ Retour de prospection</t>
  </si>
  <si>
    <t>Taxi : Domicile/ Prospection</t>
  </si>
  <si>
    <t>Taxi : / Prospection</t>
  </si>
  <si>
    <t>Taxi : - Domicile/ Retour de prospection</t>
  </si>
  <si>
    <t xml:space="preserve">Taxi : Bureau - Agence/ Achat billet </t>
  </si>
  <si>
    <t>Taxi : Agence - Agence/ Achat billet</t>
  </si>
  <si>
    <t>Taxi : Agence  - Domicile/ Retour d'achat billet</t>
  </si>
  <si>
    <t>IT87-CONGO Ration</t>
  </si>
  <si>
    <t>Taxi : Domicile - Agence/ Départ de</t>
  </si>
  <si>
    <t>Taxi : Agence - Parking/ Arrivé</t>
  </si>
  <si>
    <t xml:space="preserve">Taxi : Parking - Hôtel/ Arrivé </t>
  </si>
  <si>
    <t>Taxi moto :/ Prospection</t>
  </si>
  <si>
    <t>Taxi moto : / Prospection</t>
  </si>
  <si>
    <t>Taxi moto : Charden Farel - Avenue/ Prospection</t>
  </si>
  <si>
    <t>Taxi moto : Hôtel - Parking/ Départ</t>
  </si>
  <si>
    <t>Achat billet IT87</t>
  </si>
  <si>
    <t xml:space="preserve">Taxi moto : Parking - </t>
  </si>
  <si>
    <t>Taxi moto : Marché - Gare routière / Prospection</t>
  </si>
  <si>
    <t>Taxi moto : Gare routière de - Hôtel/ Retour de prospection</t>
  </si>
  <si>
    <t>Taxi moto :/ Rencontre avec la cible</t>
  </si>
  <si>
    <t>Taxi moto :l/ Retour de prospection</t>
  </si>
  <si>
    <t>IT87-CONGO Frais d'hôtel</t>
  </si>
  <si>
    <t>Taxi moto :</t>
  </si>
  <si>
    <t>Taxi moto : / Retour de prospection</t>
  </si>
  <si>
    <t>Taxi moto :/ Départ de</t>
  </si>
  <si>
    <t>Taxi :- Domicile/ Arrivé</t>
  </si>
  <si>
    <t>Taxi : Bureau -/ Prospection</t>
  </si>
  <si>
    <t>Taxi :/ Prospection</t>
  </si>
  <si>
    <t>Taxi :/ Retour de prospection</t>
  </si>
  <si>
    <t>Taxi :/ Achat billet</t>
  </si>
  <si>
    <t xml:space="preserve">Taxi Agence/ Retour </t>
  </si>
  <si>
    <t>Taxi :/ Départ d</t>
  </si>
  <si>
    <t>Taxi tricycle : Agence A/ Arrivé</t>
  </si>
  <si>
    <t>Taxi tricycle : / Prospection</t>
  </si>
  <si>
    <t>Taxi tricycle :/ Retrait d'argent</t>
  </si>
  <si>
    <t>Taxi tricycle : Av. / Retour de Prospection</t>
  </si>
  <si>
    <t>Taxi tricycle :/ Prospection</t>
  </si>
  <si>
    <t>Taxi tricycle : / Retour de prospection</t>
  </si>
  <si>
    <t xml:space="preserve">Taxi tricycle : </t>
  </si>
  <si>
    <t xml:space="preserve">Taxi moto :/ Arrivé </t>
  </si>
  <si>
    <t xml:space="preserve">Taxi tricycle : Hôtel - Gare routière/ Départ pour </t>
  </si>
  <si>
    <t>Taxi moto : e/ Arrivé</t>
  </si>
  <si>
    <t>Taxi moto : / Retour du terrain</t>
  </si>
  <si>
    <t>Taxi moto : / Achat billet</t>
  </si>
  <si>
    <t>Taxi moto : Agence  Retour de prospection</t>
  </si>
  <si>
    <t>Taxi moto : Hôtel - Agence/ Départ de Bouansa pour Brazzaville</t>
  </si>
  <si>
    <t>Taxi : Agence / Arrivée à Brazzaville</t>
  </si>
  <si>
    <t>Taxi : Domicile - / Prospection</t>
  </si>
  <si>
    <t>Taxi : / Retour de prospection</t>
  </si>
  <si>
    <t>Taxi :/ retour de prospection</t>
  </si>
  <si>
    <t>Achat billet /P29</t>
  </si>
  <si>
    <t xml:space="preserve">P29 - CONGO Foodallowance </t>
  </si>
  <si>
    <t xml:space="preserve">P29 - CONGO Frais d'hotel </t>
  </si>
  <si>
    <t>Location véhicule /P29</t>
  </si>
  <si>
    <t xml:space="preserve">P29 - Frais d'hotel </t>
  </si>
  <si>
    <t>Achat billet/P29</t>
  </si>
  <si>
    <t>P29 - CONGO Foodallowance</t>
  </si>
  <si>
    <t xml:space="preserve">P29 - CONGO Ration  </t>
  </si>
  <si>
    <t>P29 -CONGO Frais d'hotel</t>
  </si>
  <si>
    <t xml:space="preserve">P29 - CONGO Frais hotel </t>
  </si>
  <si>
    <t>Locaation vehicule/P29</t>
  </si>
  <si>
    <t xml:space="preserve">Locaation vehicule </t>
  </si>
  <si>
    <t>P29 - CONGO Frais de</t>
  </si>
  <si>
    <t xml:space="preserve">P29 - CONGO Frais de location d'appartement </t>
  </si>
  <si>
    <t>Achat billet billet/P29</t>
  </si>
  <si>
    <t>P29- CONGO Ration mission</t>
  </si>
  <si>
    <t xml:space="preserve">P29 -CONGO Frais d'hotel </t>
  </si>
  <si>
    <t>Location vehicule /P29</t>
  </si>
  <si>
    <t>Location vehicule/P29</t>
  </si>
  <si>
    <t>Location véhicule/P29</t>
  </si>
  <si>
    <t xml:space="preserve">P29 - CONGO Ration </t>
  </si>
  <si>
    <t>Achat billet / P29</t>
  </si>
  <si>
    <t>Achat billet/ P29</t>
  </si>
  <si>
    <t>P29 -CONGO Frais d'hotel du</t>
  </si>
  <si>
    <t>Taxi,prospection</t>
  </si>
  <si>
    <t>Taxi ,prospection</t>
  </si>
  <si>
    <t>Taxi la r -domicile</t>
  </si>
  <si>
    <t>Taxiprospection</t>
  </si>
  <si>
    <t xml:space="preserve">Taxi </t>
  </si>
  <si>
    <t>Taxi domicile-agence,</t>
  </si>
  <si>
    <t>Taxi agence-hotel,</t>
  </si>
  <si>
    <t>Taxi hotel-agence,la suite</t>
  </si>
  <si>
    <t xml:space="preserve">Taxi tricycle </t>
  </si>
  <si>
    <t>Taxi tricycle</t>
  </si>
  <si>
    <t xml:space="preserve">Taxi moto </t>
  </si>
  <si>
    <t>Taxi moto ,pour repérage</t>
  </si>
  <si>
    <t>Taxi tricycle pour repérage</t>
  </si>
  <si>
    <t>Taxi tricycle,retrait des fonds</t>
  </si>
  <si>
    <t>Taxi tricycle,pour réperage</t>
  </si>
  <si>
    <t>Taxi moto ,pour réperage</t>
  </si>
  <si>
    <t>Taxi tricycle ,pour réperage</t>
  </si>
  <si>
    <t>Taxi tricycle,pour reperage</t>
  </si>
  <si>
    <t>Taxi moto ,pour reperage</t>
  </si>
  <si>
    <t>Taxi tricyclei,pour reperage</t>
  </si>
  <si>
    <t>Taxi tricycle t,pour reperage</t>
  </si>
  <si>
    <t xml:space="preserve">Taxi tricycle/P29 travail </t>
  </si>
  <si>
    <t>Taxi tricycle,travail avec l'équipe</t>
  </si>
  <si>
    <t>Taxi tricycle ,travail avec l'équipe</t>
  </si>
  <si>
    <t xml:space="preserve">Taxi moto,travail </t>
  </si>
  <si>
    <t>Taxi tricycle-cf,retrait des fonds</t>
  </si>
  <si>
    <t>Taxi tricycleretrait des fonds</t>
  </si>
  <si>
    <t>Taxi moto,travail avec l'équipe</t>
  </si>
  <si>
    <t>Taxi moto ,travail avec l'équipe</t>
  </si>
  <si>
    <t>P29 -CONGO Frais d'hotel )</t>
  </si>
  <si>
    <t>Taxi hotel-route nationale</t>
  </si>
  <si>
    <t>Taxi moto,pour prospection</t>
  </si>
  <si>
    <t>Taxi moto,prospection</t>
  </si>
  <si>
    <t>Taxi moto c</t>
  </si>
  <si>
    <t>Taxi moto</t>
  </si>
  <si>
    <t>Taxi agence-</t>
  </si>
  <si>
    <t>Taxi hotel-agence,</t>
  </si>
  <si>
    <t>Taxi agence-domicile,</t>
  </si>
  <si>
    <t>Taxi bureau-agence, pour achat</t>
  </si>
  <si>
    <t>Taxi ,départ mission</t>
  </si>
  <si>
    <t>Taxi</t>
  </si>
  <si>
    <t>Taxi-hotel</t>
  </si>
  <si>
    <t>Taxi c,prospection</t>
  </si>
  <si>
    <t>Taxi i,prospection</t>
  </si>
  <si>
    <t>Taxi t,prospection</t>
  </si>
  <si>
    <t>Taxi prospection</t>
  </si>
  <si>
    <t xml:space="preserve">Taxi ,départ </t>
  </si>
  <si>
    <t xml:space="preserve">Taxi gare </t>
  </si>
  <si>
    <t>Achat bille/P29</t>
  </si>
  <si>
    <t xml:space="preserve">Taxi gare,retour </t>
  </si>
  <si>
    <t>Taxi hotel</t>
  </si>
  <si>
    <t>Taxi moto ,prospection</t>
  </si>
  <si>
    <t>Taxi tricycle,prospection</t>
  </si>
  <si>
    <t>Taxi tricycle ,prospection</t>
  </si>
  <si>
    <t xml:space="preserve">Taxi gare ,retour </t>
  </si>
  <si>
    <t>Taxi ,retrait des fond</t>
  </si>
  <si>
    <t>Taxi /Prospection</t>
  </si>
  <si>
    <t>Taxi hotel,pas de fonds disponible</t>
  </si>
  <si>
    <t>Taxi ,retrait des fonds</t>
  </si>
  <si>
    <t>Taxireperage</t>
  </si>
  <si>
    <t>Taxi s,reperage</t>
  </si>
  <si>
    <t>Taxi ecole ,reperage</t>
  </si>
  <si>
    <t>Taxi ,reperage</t>
  </si>
  <si>
    <t>Taxi :prospection</t>
  </si>
  <si>
    <t>Taxi,reperage</t>
  </si>
  <si>
    <t>Taxi la</t>
  </si>
  <si>
    <t xml:space="preserve">Taxi ,détails sur reperage </t>
  </si>
  <si>
    <t xml:space="preserve">Taxi,détails sur reperage </t>
  </si>
  <si>
    <t>Taxi hotel -hotel</t>
  </si>
  <si>
    <t>Taxi hotel,reperage</t>
  </si>
  <si>
    <t>Taxi reperage</t>
  </si>
  <si>
    <t>Taxi :p29</t>
  </si>
  <si>
    <t>Taxi,rsuite reperage</t>
  </si>
  <si>
    <t>Taxi mon/P29</t>
  </si>
  <si>
    <t>Taxi faire le bugdet</t>
  </si>
  <si>
    <t>Taxi ,pas de fonds disponible</t>
  </si>
  <si>
    <t>Taxi cf cv-cf ,retrait des fonds</t>
  </si>
  <si>
    <t>Taxi,retrait des fonds</t>
  </si>
  <si>
    <t>Taxi -hotel</t>
  </si>
  <si>
    <t xml:space="preserve">Taxi ,réservation équipe </t>
  </si>
  <si>
    <t>Taxi,reservation /P29</t>
  </si>
  <si>
    <t>Taxi  hotel</t>
  </si>
  <si>
    <t>Taxi hotel,chercher l'équipe pour installation</t>
  </si>
  <si>
    <t>Taxi ,installé l'équipe</t>
  </si>
  <si>
    <t>Taxi hoteL/P29</t>
  </si>
  <si>
    <t>Taxi hotel,reunion avec le coordinateur</t>
  </si>
  <si>
    <t>achat billet:/T73</t>
  </si>
  <si>
    <t xml:space="preserve">T73 - CONGO Food Allowance </t>
  </si>
  <si>
    <t xml:space="preserve">T73- CONGO Frais d'hotel </t>
  </si>
  <si>
    <t xml:space="preserve">T73 - CONGO Frais d'hotel </t>
  </si>
  <si>
    <t>achat billet :  /T73</t>
  </si>
  <si>
    <t>achat billet : /T73</t>
  </si>
  <si>
    <t>Achat billet:/T73</t>
  </si>
  <si>
    <t>T73 - CONGO Frais d'hotel</t>
  </si>
  <si>
    <t>Achat billet :/T73</t>
  </si>
  <si>
    <t>Achat  billet :/T73</t>
  </si>
  <si>
    <t>Achat billet :/ T73</t>
  </si>
  <si>
    <t>Achat billet /T73</t>
  </si>
  <si>
    <t xml:space="preserve">T73 - CONGO Ration </t>
  </si>
  <si>
    <t>Achat billet : T73</t>
  </si>
  <si>
    <t>Achat billet : /T73</t>
  </si>
  <si>
    <t>achat billet :/T73</t>
  </si>
  <si>
    <t xml:space="preserve">T73 - CONGO Rattion  </t>
  </si>
  <si>
    <t>achat billet /T73</t>
  </si>
  <si>
    <t>achat billet/T73</t>
  </si>
  <si>
    <t xml:space="preserve">achat billet/T73 </t>
  </si>
  <si>
    <t>Achat billet  /T73</t>
  </si>
  <si>
    <t>T73-CONGO Ration</t>
  </si>
  <si>
    <t xml:space="preserve">T73-CONGO Ration  </t>
  </si>
  <si>
    <t>Achat billet  / T73</t>
  </si>
  <si>
    <t>Achat billet/T73</t>
  </si>
  <si>
    <t>Taxi :  (prospection à Brazzaville)</t>
  </si>
  <si>
    <t>taxi :  (prospection à Brazzaville)</t>
  </si>
  <si>
    <t>Taxi : (prospection à Brazzaville)</t>
  </si>
  <si>
    <t>Taxi  (prospection à Brazzaville)</t>
  </si>
  <si>
    <t>Taxi :  ( prospection à brazzaville)</t>
  </si>
  <si>
    <t>Taxi : ( prospection à brazzaville)</t>
  </si>
  <si>
    <t>Taxi : ( recuperer fond pour achat billet)</t>
  </si>
  <si>
    <t>Taxi : ( achat billet)</t>
  </si>
  <si>
    <t>Taxi : agence  ( recuperer fond pour achat billet)</t>
  </si>
  <si>
    <t>Taxi :  talangai</t>
  </si>
  <si>
    <t xml:space="preserve">Taxi : </t>
  </si>
  <si>
    <t>Taxi : hotel - agence</t>
  </si>
  <si>
    <t xml:space="preserve">Taxi moto : agence </t>
  </si>
  <si>
    <t xml:space="preserve">Taxi moto : </t>
  </si>
  <si>
    <t>Taxi moto : hotel - parking (départ )</t>
  </si>
  <si>
    <t>Taxi moto : - restaurant</t>
  </si>
  <si>
    <t>Taxi- parking</t>
  </si>
  <si>
    <t>Achat billet  e/T73</t>
  </si>
  <si>
    <t xml:space="preserve">Taxi :bureau - agence </t>
  </si>
  <si>
    <t>Taxi :agence- domicile</t>
  </si>
  <si>
    <t>T73 CONGO Ration</t>
  </si>
  <si>
    <t xml:space="preserve">Taxi : domicile - agence </t>
  </si>
  <si>
    <t>Taxi : agence</t>
  </si>
  <si>
    <t>Taxi :  (prospection à dolisie)</t>
  </si>
  <si>
    <t>Taxi : (prospection à dolisie)</t>
  </si>
  <si>
    <t xml:space="preserve">Taxi : (prospection </t>
  </si>
  <si>
    <t>Taxi : (prospection</t>
  </si>
  <si>
    <t xml:space="preserve">Taxi : charden farel - hotel (prospection </t>
  </si>
  <si>
    <t xml:space="preserve">Taxi : (départ </t>
  </si>
  <si>
    <t>Taxi moto : parking - RN1</t>
  </si>
  <si>
    <t>Taxi moto : prospection</t>
  </si>
  <si>
    <t xml:space="preserve">Taxi moto : ( retour </t>
  </si>
  <si>
    <t xml:space="preserve">Taxi : gare routière - hotel </t>
  </si>
  <si>
    <t>Taxi : hotelville ( prospection</t>
  </si>
  <si>
    <t xml:space="preserve">Taxi : centre prospection </t>
  </si>
  <si>
    <t>Taxi :  prospection</t>
  </si>
  <si>
    <t xml:space="preserve">Taxi :  prospection </t>
  </si>
  <si>
    <t xml:space="preserve">Taxi : prospection </t>
  </si>
  <si>
    <t>Taxi : rendez-vous avec la cible</t>
  </si>
  <si>
    <t>Taxi : gare</t>
  </si>
  <si>
    <t xml:space="preserve">Taxi : centre </t>
  </si>
  <si>
    <t xml:space="preserve">Taxi :prospection </t>
  </si>
  <si>
    <t>Taxi : prospection</t>
  </si>
  <si>
    <t>Taxi / T73 PROSPECTION</t>
  </si>
  <si>
    <t>Taxi : centre ville ( rendez - vous)</t>
  </si>
  <si>
    <t xml:space="preserve">Taxi : centre ville - marché </t>
  </si>
  <si>
    <t xml:space="preserve">Taxi : marché - zone </t>
  </si>
  <si>
    <t>Taxi : zone- zone</t>
  </si>
  <si>
    <t>Taxi : zone  - charden farrel</t>
  </si>
  <si>
    <t>Taxi : charden farrel - hotel</t>
  </si>
  <si>
    <t xml:space="preserve">Taxi : zone s -hotel </t>
  </si>
  <si>
    <t>Taxi : hotel - centre ville</t>
  </si>
  <si>
    <t>Taxi : centre ville - gaya (</t>
  </si>
  <si>
    <t>Taxi :t73</t>
  </si>
  <si>
    <t>Taxi : rendez-vous avec p29</t>
  </si>
  <si>
    <t>Taxi :</t>
  </si>
  <si>
    <t>Taxi :  ( reperage)</t>
  </si>
  <si>
    <t>Taxi : ( reperage)</t>
  </si>
  <si>
    <t>Taxi : (reperage)</t>
  </si>
  <si>
    <t>Taxi :  (repérage)</t>
  </si>
  <si>
    <t>Taxi : (réperage)</t>
  </si>
  <si>
    <t>Taxi :l (recuperer fond)</t>
  </si>
  <si>
    <t>Taxi : zone  ( reperage)</t>
  </si>
  <si>
    <t>taxi moto : ( prospection)</t>
  </si>
  <si>
    <t>taxi moto :  marché d - parking retour</t>
  </si>
  <si>
    <t>Taxi : ( prospection)</t>
  </si>
  <si>
    <t>Taxi : village ( prospection)</t>
  </si>
  <si>
    <t>Taxi : (fin de journée)</t>
  </si>
  <si>
    <t>Taxi :de P29</t>
  </si>
  <si>
    <t>Taxi : /T73</t>
  </si>
  <si>
    <t>Taxi :  ( prospection)</t>
  </si>
  <si>
    <t>Taxi : gare  ( prospection)</t>
  </si>
  <si>
    <t>Taxi :/T73</t>
  </si>
  <si>
    <t>Taxi :( rendez vous avec la cible)</t>
  </si>
  <si>
    <t>Taxi :  ( rendez vous avec la cible)</t>
  </si>
  <si>
    <t>Taxi :  (extraction)</t>
  </si>
  <si>
    <t>Taxi : (extraction)</t>
  </si>
  <si>
    <t>Taxi :   (fin de journeé)</t>
  </si>
  <si>
    <t>Taxi : h</t>
  </si>
  <si>
    <t>Taxi /T73</t>
  </si>
  <si>
    <t>Taxi : T73</t>
  </si>
  <si>
    <t>Taxi : hotel  ( rendez-vous avec la cible)</t>
  </si>
  <si>
    <t>taxi :  (rendez - vous avec la cibe)</t>
  </si>
  <si>
    <t>taxi :  (extraction)</t>
  </si>
  <si>
    <t>taxi : (extraction)</t>
  </si>
  <si>
    <t>taxi : (fin de journée)</t>
  </si>
  <si>
    <t xml:space="preserve"> Taxi : ( rendez vous avec le coordo)</t>
  </si>
  <si>
    <t>Taxi agence-domicile,arrivé</t>
  </si>
  <si>
    <t>Taxi/P29</t>
  </si>
  <si>
    <t>Taxi /P29</t>
  </si>
  <si>
    <t>Taxi agence-hotel</t>
  </si>
  <si>
    <t>Taxi gare/P29</t>
  </si>
  <si>
    <t>Taxi gare routière-hotel,</t>
  </si>
  <si>
    <t>Achat billet P29</t>
  </si>
  <si>
    <t>Taxi hotel-gare routière</t>
  </si>
  <si>
    <t>Taxi P29</t>
  </si>
  <si>
    <t>Taxi gare /P29</t>
  </si>
  <si>
    <t>Taxi:P29</t>
  </si>
  <si>
    <t>Taxi ,détails sur reperage lieu op</t>
  </si>
  <si>
    <t xml:space="preserve">Taxi hotel </t>
  </si>
  <si>
    <t xml:space="preserve">Taxi hotel -hotel ,détails sur reperage </t>
  </si>
  <si>
    <t>Taxi hotel-hotel</t>
  </si>
  <si>
    <t>Taxi hotel-,reperage</t>
  </si>
  <si>
    <t xml:space="preserve">Taxi hotel-mboukou,prendre détails </t>
  </si>
  <si>
    <t xml:space="preserve">Taxi hotel la gloire-hotel yasmine,reservation </t>
  </si>
  <si>
    <t>Taxi hotel i-hotel,reunion avec le coordinateur</t>
  </si>
  <si>
    <t xml:space="preserve">T73 CONGO Ration </t>
  </si>
  <si>
    <t xml:space="preserve">Taxi : agence bony - hotel </t>
  </si>
  <si>
    <t xml:space="preserve">Taxi : hotel prospection </t>
  </si>
  <si>
    <t xml:space="preserve">Taxi : marché - centre ville prospection </t>
  </si>
  <si>
    <t xml:space="preserve">Taxi : centre ville - mony fleury prospection </t>
  </si>
  <si>
    <t xml:space="preserve">Taxi : mony fleury - charden farel prospection </t>
  </si>
  <si>
    <t>Taxi : charden farel - hotel prospection</t>
  </si>
  <si>
    <t xml:space="preserve">Taxi moto :  prospection </t>
  </si>
  <si>
    <t>Taxi moto : RN1 - marché ( prospection )</t>
  </si>
  <si>
    <t>Taxi moto : marché- centre ville ( prospection )</t>
  </si>
  <si>
    <t>Taxi moto : centre ville- parking ( retour )</t>
  </si>
  <si>
    <t>Achat billet: /T73</t>
  </si>
  <si>
    <t>Taxi : gare routière - hotel( retour)</t>
  </si>
  <si>
    <t>Taxi : hotel pharaon - centre ville ( prospection)</t>
  </si>
  <si>
    <t>Taxi : centre ville - tsila (prospection )</t>
  </si>
  <si>
    <t>Taxi : tsila - lisanga (prospection )</t>
  </si>
  <si>
    <t>Taxi : lisanga - hotel (prospection )</t>
  </si>
  <si>
    <t>Taxi : hotel - marché mboukou (prospection)</t>
  </si>
  <si>
    <t>Taxi : marché mboukou - bas fleury (prospection )</t>
  </si>
  <si>
    <t>Taxi : hotel - lissanga (prospection )</t>
  </si>
  <si>
    <t>Taxi : hotel - lissanga (prospection)</t>
  </si>
  <si>
    <t>Taxi : lissanga - bacongo (prospection)</t>
  </si>
  <si>
    <t>Taxi : bacongo - marché (prospection)</t>
  </si>
  <si>
    <t>Taxi : marché - hotel (prospection )</t>
  </si>
  <si>
    <t>Taxi : hotel - gare routière (prospection )</t>
  </si>
  <si>
    <t>Taxi : gare routière - zone aeroport (prospection)</t>
  </si>
  <si>
    <t>Taxi : zone aeroport - gaya (prospection )</t>
  </si>
  <si>
    <t>Taxi : gaya - charden farel (prospection)</t>
  </si>
  <si>
    <t>Taxi : gaya - hotel (prospection)</t>
  </si>
  <si>
    <t>Taxi : centre ville - gaya (repérage )</t>
  </si>
  <si>
    <t>Taxi : hotel - centre ville (repérage )</t>
  </si>
  <si>
    <t>Taxi : gaya - tsila (repérage )</t>
  </si>
  <si>
    <t>Taxi : tsila - hotel (repérage )</t>
  </si>
  <si>
    <t xml:space="preserve">Taxi : hotel pharaon - hotel </t>
  </si>
  <si>
    <t xml:space="preserve">Taxi : hotel  - hotel </t>
  </si>
  <si>
    <t>Achat billet : / T73</t>
  </si>
  <si>
    <t>taxi moto : parking - marché d ( prospection)</t>
  </si>
  <si>
    <t xml:space="preserve">taxi moto :  marché  - parking retour </t>
  </si>
  <si>
    <t>Taxi : gare routière - village  ( prospection)</t>
  </si>
  <si>
    <t>Taxi Agence trans bony - Domicile/ Retour</t>
  </si>
  <si>
    <t>Taxi : Domicile - Agence Trans Bony/ Départ de</t>
  </si>
  <si>
    <t>Taxi tricycle : Agence trans bony - Hôtel DZA MATSAKA</t>
  </si>
  <si>
    <t>Taxi tricycle : Hôtel - Rond point</t>
  </si>
  <si>
    <t>Taxi tricycle : Hôtel - Gare routière</t>
  </si>
  <si>
    <t>Taxi moto : Gare routière - Hôtel le Repère</t>
  </si>
  <si>
    <t>Taxi moto : Hôtel - Agence Trans Bony</t>
  </si>
  <si>
    <t>Taxi : Agence Trans bony - Domicile</t>
  </si>
  <si>
    <t>Taxi :bureau - agence trans</t>
  </si>
  <si>
    <t xml:space="preserve">Taxi : Bureau - Agence Trans bony/ </t>
  </si>
  <si>
    <t>Taxi : Domicile - Agence Trans Bony/</t>
  </si>
  <si>
    <t xml:space="preserve">Taxi tricycle : Agence trans bony - Hôtel DZA MATSAKA/ </t>
  </si>
  <si>
    <t>Taxi : hotel le pharaon - marché (prospection )</t>
  </si>
  <si>
    <t>Taxi : marché - centre ville (prospection )</t>
  </si>
  <si>
    <t>Taxi : centre ville - mony fleury (prospection )</t>
  </si>
  <si>
    <t>Taxi : mony fleury - charden farel (prospection)</t>
  </si>
  <si>
    <t>Taxi : charden farel - hotel (prospection)</t>
  </si>
  <si>
    <t>Taxi moto : parking - RN1 ( prospection )</t>
  </si>
  <si>
    <t>Taxi moto : centre ville- parking</t>
  </si>
  <si>
    <t>Taxi : gare routière - hotel pharaon</t>
  </si>
  <si>
    <t>Taxi : lisanga - hotel (prospection)</t>
  </si>
  <si>
    <t xml:space="preserve">Achat billet : </t>
  </si>
  <si>
    <t>Achat billet</t>
  </si>
  <si>
    <t xml:space="preserve">Achat billet </t>
  </si>
  <si>
    <t>Taxi hotel-gare routière,</t>
  </si>
  <si>
    <t>Taxi : marché - hotel (prospection)</t>
  </si>
  <si>
    <t>Taxi moto : Terrain gazonné - Agence/ Achat billet</t>
  </si>
  <si>
    <t>Taxi : gare routière - zone aeroport (prospection )</t>
  </si>
  <si>
    <t>Taxi : gaya - charden farel (prospection )</t>
  </si>
  <si>
    <t>Taxi : gaya - hotel (prospection )</t>
  </si>
  <si>
    <t>Taxi moto : Hôtel - Agence Trans Bony/</t>
  </si>
  <si>
    <t>Taxi : hotel - centre ville (repérage)</t>
  </si>
  <si>
    <t>Taxi : centre ville - gaya (repérage)</t>
  </si>
  <si>
    <t xml:space="preserve">Taxi hotel -hotel pola,détails sur reperage </t>
  </si>
  <si>
    <t>Taxi hotel -hotel pola,détails sur reperage</t>
  </si>
  <si>
    <t>Taxi la frontière-hotel,</t>
  </si>
  <si>
    <t>taxi moto : parking - marché ( prospection)</t>
  </si>
  <si>
    <t>taxi moto :  marché de kimogo - parking</t>
  </si>
  <si>
    <t>Taxi hotel la gloire-hotel yasmine,</t>
  </si>
  <si>
    <t>Taxi hotel-hotel la gloire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</si>
</sst>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1" formatCode="_-* #,##0_-;\-* #,##0_-;_-* &quot;-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#,##0.00_ ;[Red]\-#,##0.00\ "/>
    <numFmt numFmtId="167" formatCode="#,##0.0000"/>
    <numFmt numFmtId="168" formatCode="_-* #,##0\ _€_-;\-* #,##0\ _€_-;_-* &quot;-&quot;??\ _€_-;_-@_-"/>
    <numFmt numFmtId="169" formatCode="#,##0.00;[Red]#,##0.00"/>
    <numFmt numFmtId="170" formatCode="[$-409]mmmmm;@"/>
    <numFmt numFmtId="171" formatCode="[$-40C]d\-mmm;@"/>
    <numFmt numFmtId="172" formatCode="_-* #,##0\ _€_-;\-* #,##0\ _€_-;_-* &quot;-&quot;??\ _€_-;_-@"/>
    <numFmt numFmtId="173" formatCode="0.000"/>
    <numFmt numFmtId="174" formatCode="[$-40C]d\-mmm\-yy;@"/>
    <numFmt numFmtId="175" formatCode="#,##0_ ;[Red]\-#,##0\ "/>
    <numFmt numFmtId="176" formatCode="[$-40C]General"/>
    <numFmt numFmtId="177" formatCode="[$-409]d\-mmm\-yy;@"/>
    <numFmt numFmtId="178" formatCode="[$-40C]0"/>
    <numFmt numFmtId="179" formatCode="&quot; &quot;#,##0&quot;    &quot;;&quot;-&quot;#,##0&quot;    &quot;;&quot; -&quot;#&quot;    &quot;;&quot; &quot;@&quot; &quot;"/>
    <numFmt numFmtId="180" formatCode="0.0000"/>
    <numFmt numFmtId="181" formatCode="_-* #,##0.000\ _€_-;\-* #,##0.000\ _€_-;_-* &quot;-&quot;??\ _€_-;_-@_-"/>
    <numFmt numFmtId="182" formatCode="_-* #,##0.000\ _€_-;\-* #,##0.000\ _€_-;_-* &quot;-&quot;???\ _€_-;_-@_-"/>
    <numFmt numFmtId="183" formatCode="0.0"/>
    <numFmt numFmtId="184" formatCode="dd/mm/yyyy;@"/>
    <numFmt numFmtId="185" formatCode="#,##0.0000_ ;[Red]\-#,##0.0000\ "/>
    <numFmt numFmtId="186" formatCode="#,##0.000"/>
  </numFmts>
  <fonts count="93">
    <font>
      <sz val="11"/>
      <color theme="1"/>
      <name val="Aptos Narrow"/>
      <family val="2"/>
      <charset val="238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charset val="238"/>
      <scheme val="minor"/>
    </font>
    <font>
      <b/>
      <sz val="11"/>
      <color theme="1"/>
      <name val="Aptos Narrow"/>
      <family val="2"/>
      <charset val="238"/>
      <scheme val="minor"/>
    </font>
    <font>
      <b/>
      <sz val="11"/>
      <name val="Calibri"/>
      <family val="2"/>
      <charset val="238"/>
    </font>
    <font>
      <sz val="10"/>
      <name val="Arial"/>
      <family val="2"/>
    </font>
    <font>
      <b/>
      <sz val="10"/>
      <name val="Calibri"/>
      <family val="2"/>
    </font>
    <font>
      <b/>
      <sz val="10"/>
      <name val="Calibri"/>
      <family val="2"/>
      <charset val="238"/>
    </font>
    <font>
      <sz val="10"/>
      <name val="Calibri"/>
      <family val="2"/>
    </font>
    <font>
      <sz val="10"/>
      <color indexed="8"/>
      <name val="Calibri"/>
      <family val="2"/>
    </font>
    <font>
      <sz val="10"/>
      <name val="Calibri"/>
      <family val="2"/>
      <charset val="238"/>
    </font>
    <font>
      <b/>
      <sz val="10"/>
      <color indexed="8"/>
      <name val="Calibri"/>
      <family val="2"/>
    </font>
    <font>
      <b/>
      <sz val="10"/>
      <color indexed="8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1"/>
      <name val="Aptos Narrow"/>
      <family val="2"/>
      <charset val="238"/>
      <scheme val="minor"/>
    </font>
    <font>
      <sz val="10"/>
      <color theme="1"/>
      <name val="Calibri"/>
      <family val="2"/>
    </font>
    <font>
      <sz val="10"/>
      <color theme="1"/>
      <name val="Calibri"/>
      <family val="2"/>
      <charset val="238"/>
    </font>
    <font>
      <b/>
      <sz val="10"/>
      <color theme="1"/>
      <name val="Calibri"/>
      <family val="2"/>
    </font>
    <font>
      <sz val="8"/>
      <color theme="1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10"/>
      <color rgb="FFFF0000"/>
      <name val="Calibri"/>
      <family val="2"/>
    </font>
    <font>
      <b/>
      <sz val="8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2"/>
      <color theme="1"/>
      <name val="Aptos Narrow"/>
      <family val="2"/>
      <charset val="238"/>
      <scheme val="minor"/>
    </font>
    <font>
      <sz val="10"/>
      <color theme="1"/>
      <name val="Aptos Narrow"/>
      <family val="2"/>
      <scheme val="minor"/>
    </font>
    <font>
      <sz val="8"/>
      <name val="Aptos Narrow"/>
      <family val="2"/>
      <charset val="238"/>
      <scheme val="minor"/>
    </font>
    <font>
      <b/>
      <sz val="11"/>
      <color theme="1"/>
      <name val="Aptos Narrow"/>
      <family val="2"/>
      <scheme val="minor"/>
    </font>
    <font>
      <b/>
      <sz val="10"/>
      <name val="Times New Roman"/>
      <family val="1"/>
    </font>
    <font>
      <b/>
      <sz val="10"/>
      <name val="Times New Roman"/>
      <family val="1"/>
      <charset val="238"/>
    </font>
    <font>
      <sz val="10"/>
      <name val="Times New Roman"/>
      <family val="1"/>
    </font>
    <font>
      <sz val="10"/>
      <name val="Times New Roman"/>
      <family val="1"/>
      <charset val="238"/>
    </font>
    <font>
      <sz val="9"/>
      <color theme="1"/>
      <name val="Arial Narrow"/>
      <family val="2"/>
    </font>
    <font>
      <sz val="9"/>
      <name val="Arial Narrow"/>
      <family val="2"/>
    </font>
    <font>
      <sz val="11"/>
      <color indexed="8"/>
      <name val="Calibri"/>
      <family val="2"/>
    </font>
    <font>
      <sz val="9"/>
      <color indexed="8"/>
      <name val="Arial Narrow"/>
      <family val="2"/>
    </font>
    <font>
      <sz val="10"/>
      <name val="Arial Narrow"/>
      <family val="2"/>
    </font>
    <font>
      <sz val="10"/>
      <color theme="1"/>
      <name val="Arial Narrow"/>
      <family val="2"/>
    </font>
    <font>
      <sz val="11"/>
      <color theme="1"/>
      <name val="Arial Narrow"/>
      <family val="2"/>
    </font>
    <font>
      <sz val="1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2"/>
      <name val="Arial Narrow"/>
      <family val="2"/>
    </font>
    <font>
      <b/>
      <sz val="12"/>
      <name val="Arial Narrow"/>
      <family val="2"/>
    </font>
    <font>
      <sz val="11"/>
      <color rgb="FF000000"/>
      <name val="Calibri"/>
      <family val="2"/>
    </font>
    <font>
      <sz val="12"/>
      <color theme="1"/>
      <name val="Arial Narrow"/>
      <family val="2"/>
      <charset val="238"/>
    </font>
    <font>
      <sz val="12"/>
      <color theme="1"/>
      <name val="Arial Narrow"/>
      <family val="2"/>
    </font>
    <font>
      <sz val="11"/>
      <color theme="1"/>
      <name val="Times New Roman"/>
      <family val="1"/>
    </font>
    <font>
      <sz val="12"/>
      <color rgb="FF000000"/>
      <name val="Calibri"/>
      <family val="2"/>
    </font>
    <font>
      <b/>
      <sz val="12"/>
      <color theme="1"/>
      <name val="Arial Narrow"/>
      <family val="2"/>
    </font>
    <font>
      <b/>
      <sz val="11"/>
      <color theme="1"/>
      <name val="Aptos Narrow"/>
      <family val="2"/>
      <scheme val="minor"/>
    </font>
    <font>
      <b/>
      <sz val="11"/>
      <name val="Aptos Narrow"/>
      <family val="2"/>
      <scheme val="minor"/>
    </font>
    <font>
      <b/>
      <sz val="12"/>
      <color theme="1"/>
      <name val="Arial Narrow"/>
      <family val="2"/>
      <charset val="238"/>
    </font>
    <font>
      <sz val="10"/>
      <color rgb="FF000000"/>
      <name val="Times New Roman"/>
      <family val="1"/>
    </font>
    <font>
      <sz val="12"/>
      <name val="Calibri"/>
      <family val="2"/>
    </font>
    <font>
      <sz val="12"/>
      <color theme="1"/>
      <name val="Calibri"/>
      <family val="2"/>
    </font>
    <font>
      <sz val="12"/>
      <color rgb="FF000000"/>
      <name val="Arial"/>
      <family val="2"/>
    </font>
    <font>
      <sz val="12"/>
      <color rgb="FF000000"/>
      <name val="Arial Narrow"/>
      <family val="2"/>
    </font>
    <font>
      <sz val="12"/>
      <color rgb="FF000000"/>
      <name val="Times New Roman"/>
      <family val="1"/>
    </font>
    <font>
      <sz val="11"/>
      <color rgb="FF000000"/>
      <name val="Times New Roman"/>
      <family val="1"/>
    </font>
    <font>
      <b/>
      <sz val="12"/>
      <color theme="1"/>
      <name val="Aptos Narrow"/>
      <family val="2"/>
      <scheme val="minor"/>
    </font>
    <font>
      <sz val="12"/>
      <name val="Aptos Narrow"/>
      <family val="2"/>
      <scheme val="minor"/>
    </font>
    <font>
      <sz val="11"/>
      <color rgb="FF000000"/>
      <name val="Calibri"/>
      <family val="2"/>
      <charset val="238"/>
    </font>
    <font>
      <sz val="11"/>
      <color theme="1"/>
      <name val="Calibri"/>
      <family val="2"/>
      <charset val="238"/>
    </font>
    <font>
      <sz val="11"/>
      <color indexed="8"/>
      <name val="Calibri"/>
      <family val="2"/>
      <charset val="238"/>
    </font>
    <font>
      <sz val="11"/>
      <name val="Calibri"/>
      <family val="2"/>
      <charset val="238"/>
    </font>
    <font>
      <b/>
      <sz val="11"/>
      <color theme="1"/>
      <name val="Calibri"/>
      <family val="2"/>
      <charset val="238"/>
    </font>
    <font>
      <sz val="11"/>
      <color rgb="FFFF0000"/>
      <name val="Calibri"/>
      <family val="2"/>
      <charset val="238"/>
    </font>
    <font>
      <sz val="11"/>
      <color theme="3"/>
      <name val="Calibri"/>
      <family val="2"/>
      <charset val="238"/>
    </font>
    <font>
      <sz val="11"/>
      <name val="Calibri"/>
      <family val="2"/>
    </font>
    <font>
      <sz val="12"/>
      <color indexed="8"/>
      <name val="Arial Narrow"/>
      <family val="2"/>
    </font>
    <font>
      <sz val="12"/>
      <color theme="1"/>
      <name val="Aptos Narrow"/>
      <family val="2"/>
      <charset val="238"/>
      <scheme val="minor"/>
    </font>
    <font>
      <sz val="12"/>
      <color rgb="FF000000"/>
      <name val="Calibri"/>
      <family val="2"/>
      <charset val="238"/>
    </font>
    <font>
      <b/>
      <sz val="12"/>
      <color theme="1"/>
      <name val="Aptos Narrow"/>
      <scheme val="minor"/>
    </font>
    <font>
      <sz val="12"/>
      <color theme="1"/>
      <name val="Aptos Narrow"/>
      <family val="2"/>
      <charset val="1"/>
      <scheme val="minor"/>
    </font>
    <font>
      <sz val="12"/>
      <color theme="1"/>
      <name val="Times New Roman"/>
      <family val="1"/>
    </font>
    <font>
      <b/>
      <sz val="12"/>
      <name val="Calibri"/>
      <family val="2"/>
      <charset val="238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sz val="11"/>
      <color theme="1"/>
      <name val="Aptos Narrow"/>
      <scheme val="minor"/>
    </font>
    <font>
      <b/>
      <sz val="11"/>
      <color theme="1"/>
      <name val="Aptos Narrow"/>
      <scheme val="minor"/>
    </font>
    <font>
      <sz val="14"/>
      <name val="Arial Narrow"/>
      <family val="2"/>
    </font>
    <font>
      <sz val="14"/>
      <color theme="1"/>
      <name val="Aptos Narrow"/>
      <family val="2"/>
      <charset val="238"/>
      <scheme val="minor"/>
    </font>
    <font>
      <b/>
      <sz val="12"/>
      <name val="Aptos Narrow"/>
      <family val="2"/>
      <scheme val="minor"/>
    </font>
    <font>
      <i/>
      <sz val="12"/>
      <color indexed="10"/>
      <name val="Aptos Narrow"/>
      <family val="2"/>
      <scheme val="minor"/>
    </font>
    <font>
      <b/>
      <i/>
      <sz val="12"/>
      <name val="Aptos Narrow"/>
      <family val="2"/>
      <scheme val="minor"/>
    </font>
    <font>
      <i/>
      <sz val="12"/>
      <name val="Aptos Narrow"/>
      <family val="2"/>
      <scheme val="minor"/>
    </font>
    <font>
      <b/>
      <sz val="12"/>
      <color theme="3" tint="-0.499984740745262"/>
      <name val="Aptos Narrow"/>
      <family val="2"/>
      <scheme val="minor"/>
    </font>
    <font>
      <sz val="12"/>
      <color theme="3" tint="-0.499984740745262"/>
      <name val="Aptos Narrow"/>
      <family val="2"/>
      <scheme val="minor"/>
    </font>
    <font>
      <sz val="12"/>
      <color indexed="8"/>
      <name val="Aptos Narrow"/>
      <family val="2"/>
      <scheme val="minor"/>
    </font>
    <font>
      <b/>
      <sz val="12"/>
      <color rgb="FFFF0000"/>
      <name val="Aptos Narrow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DBEEF4"/>
        <bgColor rgb="FFDBEEF4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DBEEF4"/>
      </patternFill>
    </fill>
    <fill>
      <patternFill patternType="solid">
        <fgColor rgb="FFFFFF99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FF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rgb="FF000000"/>
      </left>
      <right/>
      <top style="thin">
        <color indexed="64"/>
      </top>
      <bottom/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</borders>
  <cellStyleXfs count="13">
    <xf numFmtId="0" fontId="0" fillId="0" borderId="0"/>
    <xf numFmtId="43" fontId="6" fillId="0" borderId="0" applyFont="0" applyFill="0" applyBorder="0" applyAlignment="0" applyProtection="0"/>
    <xf numFmtId="0" fontId="9" fillId="0" borderId="0"/>
    <xf numFmtId="0" fontId="37" fillId="0" borderId="0"/>
    <xf numFmtId="177" fontId="46" fillId="0" borderId="0" applyBorder="0" applyProtection="0"/>
    <xf numFmtId="165" fontId="50" fillId="0" borderId="0">
      <protection locked="0"/>
    </xf>
    <xf numFmtId="165" fontId="5" fillId="0" borderId="0" applyFont="0" applyFill="0" applyBorder="0" applyAlignment="0" applyProtection="0"/>
    <xf numFmtId="0" fontId="9" fillId="0" borderId="0"/>
    <xf numFmtId="165" fontId="43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4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9" fillId="0" borderId="0"/>
  </cellStyleXfs>
  <cellXfs count="599">
    <xf numFmtId="0" fontId="0" fillId="0" borderId="0" xfId="0"/>
    <xf numFmtId="0" fontId="8" fillId="2" borderId="1" xfId="0" applyFont="1" applyFill="1" applyBorder="1" applyAlignment="1">
      <alignment horizontal="left" vertical="center" wrapText="1"/>
    </xf>
    <xf numFmtId="167" fontId="8" fillId="2" borderId="1" xfId="0" applyNumberFormat="1" applyFont="1" applyFill="1" applyBorder="1" applyAlignment="1">
      <alignment horizontal="right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right" vertical="center" wrapText="1"/>
    </xf>
    <xf numFmtId="166" fontId="11" fillId="3" borderId="1" xfId="2" applyNumberFormat="1" applyFont="1" applyFill="1" applyBorder="1" applyAlignment="1">
      <alignment horizontal="center" vertical="center"/>
    </xf>
    <xf numFmtId="4" fontId="12" fillId="0" borderId="1" xfId="0" applyNumberFormat="1" applyFont="1" applyBorder="1" applyAlignment="1">
      <alignment horizontal="center" vertical="center"/>
    </xf>
    <xf numFmtId="166" fontId="12" fillId="0" borderId="1" xfId="1" applyNumberFormat="1" applyFont="1" applyBorder="1"/>
    <xf numFmtId="166" fontId="13" fillId="0" borderId="1" xfId="0" applyNumberFormat="1" applyFont="1" applyBorder="1" applyAlignment="1">
      <alignment vertical="top" wrapText="1"/>
    </xf>
    <xf numFmtId="166" fontId="14" fillId="0" borderId="1" xfId="1" applyNumberFormat="1" applyFont="1" applyBorder="1"/>
    <xf numFmtId="166" fontId="14" fillId="0" borderId="2" xfId="1" applyNumberFormat="1" applyFont="1" applyBorder="1"/>
    <xf numFmtId="166" fontId="11" fillId="3" borderId="1" xfId="1" applyNumberFormat="1" applyFont="1" applyFill="1" applyBorder="1"/>
    <xf numFmtId="166" fontId="10" fillId="0" borderId="1" xfId="1" applyNumberFormat="1" applyFont="1" applyBorder="1"/>
    <xf numFmtId="166" fontId="15" fillId="0" borderId="1" xfId="0" applyNumberFormat="1" applyFont="1" applyBorder="1" applyAlignment="1">
      <alignment vertical="top" wrapText="1"/>
    </xf>
    <xf numFmtId="14" fontId="16" fillId="4" borderId="1" xfId="0" applyNumberFormat="1" applyFont="1" applyFill="1" applyBorder="1"/>
    <xf numFmtId="166" fontId="17" fillId="4" borderId="1" xfId="1" applyNumberFormat="1" applyFont="1" applyFill="1" applyBorder="1"/>
    <xf numFmtId="166" fontId="18" fillId="4" borderId="1" xfId="0" applyNumberFormat="1" applyFont="1" applyFill="1" applyBorder="1"/>
    <xf numFmtId="166" fontId="11" fillId="4" borderId="1" xfId="1" applyNumberFormat="1" applyFont="1" applyFill="1" applyBorder="1"/>
    <xf numFmtId="14" fontId="13" fillId="0" borderId="1" xfId="0" applyNumberFormat="1" applyFont="1" applyBorder="1"/>
    <xf numFmtId="166" fontId="13" fillId="0" borderId="1" xfId="0" applyNumberFormat="1" applyFont="1" applyBorder="1"/>
    <xf numFmtId="166" fontId="12" fillId="0" borderId="1" xfId="1" applyNumberFormat="1" applyFont="1" applyBorder="1" applyAlignment="1">
      <alignment horizontal="center"/>
    </xf>
    <xf numFmtId="166" fontId="19" fillId="0" borderId="1" xfId="1" applyNumberFormat="1" applyFont="1" applyBorder="1"/>
    <xf numFmtId="166" fontId="13" fillId="0" borderId="2" xfId="0" applyNumberFormat="1" applyFont="1" applyBorder="1"/>
    <xf numFmtId="0" fontId="20" fillId="0" borderId="1" xfId="0" applyFont="1" applyBorder="1"/>
    <xf numFmtId="166" fontId="20" fillId="0" borderId="1" xfId="0" applyNumberFormat="1" applyFont="1" applyBorder="1"/>
    <xf numFmtId="166" fontId="20" fillId="0" borderId="1" xfId="1" applyNumberFormat="1" applyFont="1" applyBorder="1"/>
    <xf numFmtId="166" fontId="20" fillId="5" borderId="1" xfId="1" applyNumberFormat="1" applyFont="1" applyFill="1" applyBorder="1"/>
    <xf numFmtId="166" fontId="20" fillId="0" borderId="2" xfId="1" applyNumberFormat="1" applyFont="1" applyBorder="1"/>
    <xf numFmtId="0" fontId="22" fillId="0" borderId="3" xfId="0" applyFont="1" applyBorder="1"/>
    <xf numFmtId="166" fontId="23" fillId="0" borderId="3" xfId="0" applyNumberFormat="1" applyFont="1" applyBorder="1"/>
    <xf numFmtId="166" fontId="24" fillId="0" borderId="3" xfId="0" applyNumberFormat="1" applyFont="1" applyBorder="1"/>
    <xf numFmtId="166" fontId="23" fillId="5" borderId="3" xfId="0" applyNumberFormat="1" applyFont="1" applyFill="1" applyBorder="1"/>
    <xf numFmtId="166" fontId="23" fillId="0" borderId="5" xfId="0" applyNumberFormat="1" applyFont="1" applyBorder="1"/>
    <xf numFmtId="166" fontId="25" fillId="3" borderId="1" xfId="1" applyNumberFormat="1" applyFont="1" applyFill="1" applyBorder="1"/>
    <xf numFmtId="0" fontId="21" fillId="0" borderId="3" xfId="0" applyFont="1" applyBorder="1"/>
    <xf numFmtId="166" fontId="15" fillId="0" borderId="3" xfId="0" applyNumberFormat="1" applyFont="1" applyBorder="1"/>
    <xf numFmtId="166" fontId="15" fillId="0" borderId="5" xfId="0" applyNumberFormat="1" applyFont="1" applyBorder="1"/>
    <xf numFmtId="0" fontId="21" fillId="7" borderId="6" xfId="0" applyFont="1" applyFill="1" applyBorder="1"/>
    <xf numFmtId="166" fontId="15" fillId="7" borderId="7" xfId="0" applyNumberFormat="1" applyFont="1" applyFill="1" applyBorder="1"/>
    <xf numFmtId="166" fontId="15" fillId="7" borderId="8" xfId="0" applyNumberFormat="1" applyFont="1" applyFill="1" applyBorder="1"/>
    <xf numFmtId="166" fontId="11" fillId="7" borderId="1" xfId="1" applyNumberFormat="1" applyFont="1" applyFill="1" applyBorder="1"/>
    <xf numFmtId="0" fontId="13" fillId="0" borderId="9" xfId="0" applyFont="1" applyBorder="1"/>
    <xf numFmtId="166" fontId="13" fillId="0" borderId="9" xfId="0" applyNumberFormat="1" applyFont="1" applyBorder="1"/>
    <xf numFmtId="166" fontId="13" fillId="0" borderId="10" xfId="0" applyNumberFormat="1" applyFont="1" applyBorder="1"/>
    <xf numFmtId="0" fontId="21" fillId="0" borderId="1" xfId="0" applyFont="1" applyBorder="1"/>
    <xf numFmtId="166" fontId="21" fillId="0" borderId="1" xfId="0" applyNumberFormat="1" applyFont="1" applyBorder="1"/>
    <xf numFmtId="166" fontId="15" fillId="0" borderId="1" xfId="0" applyNumberFormat="1" applyFont="1" applyBorder="1"/>
    <xf numFmtId="166" fontId="21" fillId="0" borderId="1" xfId="1" applyNumberFormat="1" applyFont="1" applyBorder="1"/>
    <xf numFmtId="166" fontId="21" fillId="0" borderId="2" xfId="1" applyNumberFormat="1" applyFont="1" applyBorder="1"/>
    <xf numFmtId="0" fontId="13" fillId="0" borderId="0" xfId="0" applyFont="1"/>
    <xf numFmtId="166" fontId="13" fillId="0" borderId="0" xfId="0" applyNumberFormat="1" applyFont="1"/>
    <xf numFmtId="0" fontId="18" fillId="0" borderId="4" xfId="0" applyFont="1" applyBorder="1"/>
    <xf numFmtId="0" fontId="26" fillId="8" borderId="11" xfId="0" applyFont="1" applyFill="1" applyBorder="1"/>
    <xf numFmtId="166" fontId="26" fillId="8" borderId="12" xfId="0" applyNumberFormat="1" applyFont="1" applyFill="1" applyBorder="1"/>
    <xf numFmtId="166" fontId="26" fillId="8" borderId="13" xfId="0" applyNumberFormat="1" applyFont="1" applyFill="1" applyBorder="1"/>
    <xf numFmtId="166" fontId="26" fillId="8" borderId="14" xfId="0" applyNumberFormat="1" applyFont="1" applyFill="1" applyBorder="1"/>
    <xf numFmtId="0" fontId="27" fillId="3" borderId="15" xfId="0" applyFont="1" applyFill="1" applyBorder="1"/>
    <xf numFmtId="0" fontId="27" fillId="8" borderId="16" xfId="0" applyFont="1" applyFill="1" applyBorder="1" applyAlignment="1">
      <alignment wrapText="1"/>
    </xf>
    <xf numFmtId="166" fontId="26" fillId="8" borderId="17" xfId="0" applyNumberFormat="1" applyFont="1" applyFill="1" applyBorder="1" applyAlignment="1">
      <alignment wrapText="1"/>
    </xf>
    <xf numFmtId="166" fontId="26" fillId="8" borderId="1" xfId="0" applyNumberFormat="1" applyFont="1" applyFill="1" applyBorder="1" applyAlignment="1">
      <alignment wrapText="1"/>
    </xf>
    <xf numFmtId="0" fontId="27" fillId="3" borderId="18" xfId="0" applyFont="1" applyFill="1" applyBorder="1" applyAlignment="1">
      <alignment wrapText="1"/>
    </xf>
    <xf numFmtId="0" fontId="26" fillId="9" borderId="19" xfId="0" applyFont="1" applyFill="1" applyBorder="1" applyAlignment="1">
      <alignment wrapText="1"/>
    </xf>
    <xf numFmtId="166" fontId="26" fillId="9" borderId="20" xfId="0" applyNumberFormat="1" applyFont="1" applyFill="1" applyBorder="1"/>
    <xf numFmtId="166" fontId="26" fillId="9" borderId="21" xfId="0" applyNumberFormat="1" applyFont="1" applyFill="1" applyBorder="1"/>
    <xf numFmtId="4" fontId="28" fillId="9" borderId="22" xfId="0" applyNumberFormat="1" applyFont="1" applyFill="1" applyBorder="1" applyAlignment="1">
      <alignment horizontal="center" vertical="center"/>
    </xf>
    <xf numFmtId="166" fontId="27" fillId="3" borderId="23" xfId="0" applyNumberFormat="1" applyFont="1" applyFill="1" applyBorder="1"/>
    <xf numFmtId="14" fontId="8" fillId="4" borderId="1" xfId="0" applyNumberFormat="1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left" vertical="center" wrapText="1"/>
    </xf>
    <xf numFmtId="0" fontId="8" fillId="4" borderId="1" xfId="0" applyFont="1" applyFill="1" applyBorder="1" applyAlignment="1">
      <alignment horizontal="center" vertical="center" wrapText="1"/>
    </xf>
    <xf numFmtId="14" fontId="0" fillId="0" borderId="0" xfId="0" applyNumberFormat="1"/>
    <xf numFmtId="3" fontId="8" fillId="2" borderId="1" xfId="0" applyNumberFormat="1" applyFont="1" applyFill="1" applyBorder="1" applyAlignment="1">
      <alignment vertical="center" wrapText="1"/>
    </xf>
    <xf numFmtId="3" fontId="0" fillId="0" borderId="0" xfId="0" applyNumberFormat="1"/>
    <xf numFmtId="4" fontId="8" fillId="2" borderId="1" xfId="0" applyNumberFormat="1" applyFont="1" applyFill="1" applyBorder="1" applyAlignment="1">
      <alignment horizontal="right" vertical="center" wrapText="1"/>
    </xf>
    <xf numFmtId="14" fontId="8" fillId="10" borderId="1" xfId="0" applyNumberFormat="1" applyFont="1" applyFill="1" applyBorder="1" applyAlignment="1">
      <alignment horizontal="center" vertical="center" wrapText="1"/>
    </xf>
    <xf numFmtId="0" fontId="8" fillId="10" borderId="1" xfId="0" applyFont="1" applyFill="1" applyBorder="1" applyAlignment="1">
      <alignment horizontal="left" vertical="center" wrapText="1"/>
    </xf>
    <xf numFmtId="0" fontId="8" fillId="10" borderId="1" xfId="0" applyFont="1" applyFill="1" applyBorder="1" applyAlignment="1">
      <alignment horizontal="center" vertical="center" wrapText="1"/>
    </xf>
    <xf numFmtId="0" fontId="0" fillId="0" borderId="1" xfId="0" applyBorder="1"/>
    <xf numFmtId="166" fontId="15" fillId="2" borderId="1" xfId="0" applyNumberFormat="1" applyFont="1" applyFill="1" applyBorder="1" applyAlignment="1">
      <alignment vertical="top" wrapText="1"/>
    </xf>
    <xf numFmtId="166" fontId="10" fillId="2" borderId="1" xfId="1" applyNumberFormat="1" applyFont="1" applyFill="1" applyBorder="1"/>
    <xf numFmtId="14" fontId="10" fillId="2" borderId="1" xfId="2" applyNumberFormat="1" applyFont="1" applyFill="1" applyBorder="1" applyAlignment="1">
      <alignment horizontal="center" vertical="center"/>
    </xf>
    <xf numFmtId="166" fontId="10" fillId="2" borderId="1" xfId="2" applyNumberFormat="1" applyFont="1" applyFill="1" applyBorder="1" applyAlignment="1">
      <alignment horizontal="center" vertical="center" wrapText="1"/>
    </xf>
    <xf numFmtId="166" fontId="10" fillId="2" borderId="1" xfId="2" applyNumberFormat="1" applyFont="1" applyFill="1" applyBorder="1" applyAlignment="1">
      <alignment horizontal="center" vertical="center"/>
    </xf>
    <xf numFmtId="166" fontId="10" fillId="2" borderId="2" xfId="2" applyNumberFormat="1" applyFont="1" applyFill="1" applyBorder="1" applyAlignment="1">
      <alignment horizontal="center" vertical="center" wrapText="1"/>
    </xf>
    <xf numFmtId="0" fontId="21" fillId="4" borderId="1" xfId="0" applyFont="1" applyFill="1" applyBorder="1"/>
    <xf numFmtId="166" fontId="15" fillId="4" borderId="1" xfId="0" applyNumberFormat="1" applyFont="1" applyFill="1" applyBorder="1"/>
    <xf numFmtId="166" fontId="15" fillId="4" borderId="2" xfId="0" applyNumberFormat="1" applyFont="1" applyFill="1" applyBorder="1"/>
    <xf numFmtId="3" fontId="8" fillId="10" borderId="1" xfId="0" applyNumberFormat="1" applyFont="1" applyFill="1" applyBorder="1" applyAlignment="1">
      <alignment vertical="center" wrapText="1"/>
    </xf>
    <xf numFmtId="3" fontId="8" fillId="10" borderId="1" xfId="0" applyNumberFormat="1" applyFont="1" applyFill="1" applyBorder="1" applyAlignment="1">
      <alignment horizontal="right" vertical="center" wrapText="1"/>
    </xf>
    <xf numFmtId="3" fontId="8" fillId="4" borderId="1" xfId="0" applyNumberFormat="1" applyFont="1" applyFill="1" applyBorder="1" applyAlignment="1">
      <alignment vertical="center" wrapText="1"/>
    </xf>
    <xf numFmtId="3" fontId="8" fillId="4" borderId="1" xfId="0" applyNumberFormat="1" applyFont="1" applyFill="1" applyBorder="1" applyAlignment="1">
      <alignment horizontal="right" vertical="center" wrapText="1"/>
    </xf>
    <xf numFmtId="0" fontId="30" fillId="0" borderId="0" xfId="0" applyFont="1"/>
    <xf numFmtId="0" fontId="30" fillId="0" borderId="1" xfId="0" applyFont="1" applyBorder="1"/>
    <xf numFmtId="4" fontId="0" fillId="0" borderId="1" xfId="0" applyNumberFormat="1" applyBorder="1"/>
    <xf numFmtId="0" fontId="7" fillId="0" borderId="1" xfId="0" applyFont="1" applyBorder="1"/>
    <xf numFmtId="4" fontId="30" fillId="0" borderId="1" xfId="0" applyNumberFormat="1" applyFont="1" applyBorder="1"/>
    <xf numFmtId="3" fontId="0" fillId="0" borderId="1" xfId="0" applyNumberFormat="1" applyBorder="1"/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0" fillId="4" borderId="1" xfId="0" applyFill="1" applyBorder="1"/>
    <xf numFmtId="0" fontId="0" fillId="10" borderId="1" xfId="0" applyFill="1" applyBorder="1"/>
    <xf numFmtId="170" fontId="31" fillId="12" borderId="1" xfId="0" applyNumberFormat="1" applyFont="1" applyFill="1" applyBorder="1" applyAlignment="1">
      <alignment horizontal="center" vertical="center" wrapText="1"/>
    </xf>
    <xf numFmtId="166" fontId="31" fillId="12" borderId="1" xfId="0" applyNumberFormat="1" applyFont="1" applyFill="1" applyBorder="1" applyAlignment="1">
      <alignment horizontal="center" vertical="center" wrapText="1"/>
    </xf>
    <xf numFmtId="49" fontId="32" fillId="13" borderId="1" xfId="0" applyNumberFormat="1" applyFont="1" applyFill="1" applyBorder="1" applyAlignment="1">
      <alignment vertical="top" wrapText="1"/>
    </xf>
    <xf numFmtId="166" fontId="32" fillId="13" borderId="1" xfId="0" applyNumberFormat="1" applyFont="1" applyFill="1" applyBorder="1" applyAlignment="1">
      <alignment vertical="top" wrapText="1"/>
    </xf>
    <xf numFmtId="166" fontId="32" fillId="13" borderId="1" xfId="0" applyNumberFormat="1" applyFont="1" applyFill="1" applyBorder="1" applyAlignment="1">
      <alignment vertical="center" wrapText="1"/>
    </xf>
    <xf numFmtId="0" fontId="33" fillId="0" borderId="1" xfId="0" applyFont="1" applyBorder="1" applyAlignment="1">
      <alignment vertical="top" wrapText="1"/>
    </xf>
    <xf numFmtId="166" fontId="33" fillId="0" borderId="1" xfId="0" applyNumberFormat="1" applyFont="1" applyBorder="1" applyAlignment="1">
      <alignment vertical="top" wrapText="1"/>
    </xf>
    <xf numFmtId="166" fontId="33" fillId="0" borderId="1" xfId="1" applyNumberFormat="1" applyFont="1" applyBorder="1" applyAlignment="1">
      <alignment vertical="top" wrapText="1"/>
    </xf>
    <xf numFmtId="17" fontId="33" fillId="0" borderId="1" xfId="0" applyNumberFormat="1" applyFont="1" applyBorder="1" applyAlignment="1">
      <alignment vertical="top" wrapText="1"/>
    </xf>
    <xf numFmtId="166" fontId="32" fillId="0" borderId="1" xfId="0" applyNumberFormat="1" applyFont="1" applyBorder="1" applyAlignment="1">
      <alignment vertical="top" wrapText="1"/>
    </xf>
    <xf numFmtId="166" fontId="32" fillId="0" borderId="1" xfId="0" applyNumberFormat="1" applyFont="1" applyBorder="1" applyAlignment="1">
      <alignment vertical="center" wrapText="1"/>
    </xf>
    <xf numFmtId="166" fontId="32" fillId="0" borderId="1" xfId="1" applyNumberFormat="1" applyFont="1" applyFill="1" applyBorder="1" applyAlignment="1">
      <alignment vertical="top" wrapText="1"/>
    </xf>
    <xf numFmtId="166" fontId="34" fillId="0" borderId="1" xfId="0" applyNumberFormat="1" applyFont="1" applyBorder="1" applyAlignment="1">
      <alignment vertical="center" wrapText="1"/>
    </xf>
    <xf numFmtId="49" fontId="34" fillId="0" borderId="1" xfId="0" applyNumberFormat="1" applyFont="1" applyBorder="1" applyAlignment="1">
      <alignment vertical="top" wrapText="1"/>
    </xf>
    <xf numFmtId="0" fontId="34" fillId="0" borderId="1" xfId="0" applyFont="1" applyBorder="1" applyAlignment="1">
      <alignment vertical="top" wrapText="1"/>
    </xf>
    <xf numFmtId="0" fontId="33" fillId="0" borderId="3" xfId="0" applyFont="1" applyBorder="1" applyAlignment="1">
      <alignment vertical="top" wrapText="1"/>
    </xf>
    <xf numFmtId="166" fontId="33" fillId="0" borderId="3" xfId="0" applyNumberFormat="1" applyFont="1" applyBorder="1" applyAlignment="1">
      <alignment vertical="top" wrapText="1"/>
    </xf>
    <xf numFmtId="166" fontId="33" fillId="0" borderId="3" xfId="1" applyNumberFormat="1" applyFont="1" applyBorder="1" applyAlignment="1">
      <alignment vertical="top" wrapText="1"/>
    </xf>
    <xf numFmtId="0" fontId="35" fillId="0" borderId="1" xfId="0" applyFont="1" applyBorder="1"/>
    <xf numFmtId="0" fontId="36" fillId="0" borderId="1" xfId="0" applyFont="1" applyBorder="1" applyAlignment="1">
      <alignment horizontal="left"/>
    </xf>
    <xf numFmtId="0" fontId="36" fillId="0" borderId="1" xfId="0" applyFont="1" applyBorder="1"/>
    <xf numFmtId="0" fontId="39" fillId="0" borderId="1" xfId="0" applyFont="1" applyBorder="1" applyAlignment="1">
      <alignment horizontal="left"/>
    </xf>
    <xf numFmtId="168" fontId="35" fillId="0" borderId="1" xfId="1" applyNumberFormat="1" applyFont="1" applyBorder="1"/>
    <xf numFmtId="168" fontId="36" fillId="0" borderId="1" xfId="1" applyNumberFormat="1" applyFont="1" applyFill="1" applyBorder="1"/>
    <xf numFmtId="0" fontId="0" fillId="0" borderId="3" xfId="0" applyBorder="1"/>
    <xf numFmtId="166" fontId="10" fillId="0" borderId="4" xfId="1" applyNumberFormat="1" applyFont="1" applyBorder="1"/>
    <xf numFmtId="172" fontId="40" fillId="5" borderId="1" xfId="0" applyNumberFormat="1" applyFont="1" applyFill="1" applyBorder="1"/>
    <xf numFmtId="0" fontId="0" fillId="5" borderId="1" xfId="0" applyFill="1" applyBorder="1"/>
    <xf numFmtId="14" fontId="30" fillId="5" borderId="1" xfId="0" applyNumberFormat="1" applyFont="1" applyFill="1" applyBorder="1"/>
    <xf numFmtId="0" fontId="30" fillId="5" borderId="1" xfId="0" applyFont="1" applyFill="1" applyBorder="1"/>
    <xf numFmtId="3" fontId="31" fillId="13" borderId="1" xfId="0" applyNumberFormat="1" applyFont="1" applyFill="1" applyBorder="1" applyAlignment="1">
      <alignment vertical="center" wrapText="1"/>
    </xf>
    <xf numFmtId="0" fontId="0" fillId="0" borderId="1" xfId="0" applyBorder="1" applyAlignment="1">
      <alignment vertical="center"/>
    </xf>
    <xf numFmtId="0" fontId="43" fillId="0" borderId="1" xfId="0" applyFont="1" applyBorder="1" applyAlignment="1">
      <alignment vertical="center"/>
    </xf>
    <xf numFmtId="0" fontId="0" fillId="3" borderId="1" xfId="0" applyFill="1" applyBorder="1" applyAlignment="1">
      <alignment vertical="center"/>
    </xf>
    <xf numFmtId="4" fontId="12" fillId="3" borderId="1" xfId="0" applyNumberFormat="1" applyFont="1" applyFill="1" applyBorder="1" applyAlignment="1">
      <alignment horizontal="center" vertical="center"/>
    </xf>
    <xf numFmtId="174" fontId="44" fillId="0" borderId="0" xfId="0" applyNumberFormat="1" applyFont="1"/>
    <xf numFmtId="0" fontId="44" fillId="0" borderId="0" xfId="0" applyFont="1"/>
    <xf numFmtId="0" fontId="45" fillId="0" borderId="0" xfId="0" applyFont="1"/>
    <xf numFmtId="3" fontId="44" fillId="0" borderId="0" xfId="0" applyNumberFormat="1" applyFont="1"/>
    <xf numFmtId="175" fontId="45" fillId="0" borderId="0" xfId="0" applyNumberFormat="1" applyFont="1"/>
    <xf numFmtId="174" fontId="45" fillId="14" borderId="48" xfId="3" applyNumberFormat="1" applyFont="1" applyFill="1" applyBorder="1"/>
    <xf numFmtId="176" fontId="45" fillId="14" borderId="48" xfId="3" applyNumberFormat="1" applyFont="1" applyFill="1" applyBorder="1"/>
    <xf numFmtId="3" fontId="45" fillId="14" borderId="48" xfId="4" applyNumberFormat="1" applyFont="1" applyFill="1" applyBorder="1"/>
    <xf numFmtId="176" fontId="44" fillId="0" borderId="0" xfId="3" applyNumberFormat="1" applyFont="1"/>
    <xf numFmtId="0" fontId="48" fillId="0" borderId="1" xfId="0" applyFont="1" applyBorder="1" applyAlignment="1">
      <alignment vertical="center"/>
    </xf>
    <xf numFmtId="0" fontId="41" fillId="5" borderId="1" xfId="0" applyFont="1" applyFill="1" applyBorder="1"/>
    <xf numFmtId="174" fontId="48" fillId="5" borderId="1" xfId="3" applyNumberFormat="1" applyFont="1" applyFill="1" applyBorder="1" applyAlignment="1">
      <alignment vertical="top" wrapText="1"/>
    </xf>
    <xf numFmtId="0" fontId="0" fillId="0" borderId="0" xfId="0" applyAlignment="1">
      <alignment horizontal="left"/>
    </xf>
    <xf numFmtId="164" fontId="0" fillId="0" borderId="0" xfId="0" applyNumberFormat="1"/>
    <xf numFmtId="168" fontId="7" fillId="5" borderId="0" xfId="1" applyNumberFormat="1" applyFont="1" applyFill="1" applyBorder="1"/>
    <xf numFmtId="0" fontId="52" fillId="0" borderId="0" xfId="0" applyFont="1"/>
    <xf numFmtId="3" fontId="52" fillId="0" borderId="0" xfId="0" applyNumberFormat="1" applyFont="1"/>
    <xf numFmtId="0" fontId="52" fillId="0" borderId="0" xfId="0" applyFont="1" applyAlignment="1">
      <alignment horizontal="center"/>
    </xf>
    <xf numFmtId="0" fontId="52" fillId="0" borderId="0" xfId="0" applyFont="1" applyAlignment="1">
      <alignment horizontal="right"/>
    </xf>
    <xf numFmtId="166" fontId="12" fillId="3" borderId="1" xfId="1" applyNumberFormat="1" applyFont="1" applyFill="1" applyBorder="1"/>
    <xf numFmtId="166" fontId="13" fillId="3" borderId="1" xfId="0" applyNumberFormat="1" applyFont="1" applyFill="1" applyBorder="1" applyAlignment="1">
      <alignment vertical="top" wrapText="1"/>
    </xf>
    <xf numFmtId="166" fontId="14" fillId="3" borderId="1" xfId="1" applyNumberFormat="1" applyFont="1" applyFill="1" applyBorder="1"/>
    <xf numFmtId="166" fontId="14" fillId="3" borderId="2" xfId="1" applyNumberFormat="1" applyFont="1" applyFill="1" applyBorder="1"/>
    <xf numFmtId="175" fontId="0" fillId="0" borderId="0" xfId="0" applyNumberFormat="1"/>
    <xf numFmtId="168" fontId="36" fillId="0" borderId="0" xfId="1" applyNumberFormat="1" applyFont="1" applyFill="1" applyBorder="1"/>
    <xf numFmtId="168" fontId="0" fillId="0" borderId="0" xfId="0" applyNumberFormat="1"/>
    <xf numFmtId="166" fontId="0" fillId="0" borderId="0" xfId="0" applyNumberFormat="1"/>
    <xf numFmtId="180" fontId="31" fillId="12" borderId="4" xfId="0" applyNumberFormat="1" applyFont="1" applyFill="1" applyBorder="1" applyAlignment="1">
      <alignment horizontal="center" vertical="center" wrapText="1"/>
    </xf>
    <xf numFmtId="180" fontId="0" fillId="0" borderId="0" xfId="0" applyNumberFormat="1"/>
    <xf numFmtId="3" fontId="0" fillId="5" borderId="1" xfId="0" applyNumberFormat="1" applyFill="1" applyBorder="1"/>
    <xf numFmtId="168" fontId="40" fillId="5" borderId="1" xfId="1" applyNumberFormat="1" applyFont="1" applyFill="1" applyBorder="1"/>
    <xf numFmtId="0" fontId="39" fillId="5" borderId="1" xfId="0" applyFont="1" applyFill="1" applyBorder="1" applyAlignment="1">
      <alignment horizontal="left"/>
    </xf>
    <xf numFmtId="0" fontId="35" fillId="0" borderId="9" xfId="0" applyFont="1" applyBorder="1"/>
    <xf numFmtId="172" fontId="40" fillId="5" borderId="9" xfId="0" applyNumberFormat="1" applyFont="1" applyFill="1" applyBorder="1"/>
    <xf numFmtId="173" fontId="0" fillId="0" borderId="0" xfId="0" applyNumberFormat="1"/>
    <xf numFmtId="0" fontId="0" fillId="0" borderId="0" xfId="0" pivotButton="1"/>
    <xf numFmtId="0" fontId="0" fillId="0" borderId="0" xfId="0" applyAlignment="1">
      <alignment horizontal="left" indent="1"/>
    </xf>
    <xf numFmtId="174" fontId="47" fillId="5" borderId="1" xfId="3" applyNumberFormat="1" applyFont="1" applyFill="1" applyBorder="1" applyAlignment="1">
      <alignment vertical="top" wrapText="1"/>
    </xf>
    <xf numFmtId="174" fontId="47" fillId="5" borderId="2" xfId="3" applyNumberFormat="1" applyFont="1" applyFill="1" applyBorder="1" applyAlignment="1">
      <alignment vertical="top" wrapText="1"/>
    </xf>
    <xf numFmtId="0" fontId="48" fillId="5" borderId="1" xfId="0" applyFont="1" applyFill="1" applyBorder="1" applyAlignment="1">
      <alignment vertical="center"/>
    </xf>
    <xf numFmtId="3" fontId="48" fillId="5" borderId="1" xfId="0" applyNumberFormat="1" applyFont="1" applyFill="1" applyBorder="1" applyAlignment="1">
      <alignment vertical="center"/>
    </xf>
    <xf numFmtId="0" fontId="48" fillId="5" borderId="0" xfId="0" applyFont="1" applyFill="1" applyAlignment="1">
      <alignment vertical="center"/>
    </xf>
    <xf numFmtId="174" fontId="48" fillId="5" borderId="0" xfId="3" applyNumberFormat="1" applyFont="1" applyFill="1" applyAlignment="1">
      <alignment vertical="top" wrapText="1"/>
    </xf>
    <xf numFmtId="175" fontId="51" fillId="5" borderId="50" xfId="4" applyNumberFormat="1" applyFont="1" applyFill="1" applyBorder="1" applyAlignment="1">
      <alignment horizontal="center" vertical="center"/>
    </xf>
    <xf numFmtId="0" fontId="48" fillId="5" borderId="1" xfId="0" applyFont="1" applyFill="1" applyBorder="1"/>
    <xf numFmtId="14" fontId="30" fillId="5" borderId="0" xfId="0" applyNumberFormat="1" applyFont="1" applyFill="1"/>
    <xf numFmtId="0" fontId="43" fillId="5" borderId="1" xfId="0" applyFont="1" applyFill="1" applyBorder="1"/>
    <xf numFmtId="3" fontId="48" fillId="5" borderId="1" xfId="0" applyNumberFormat="1" applyFont="1" applyFill="1" applyBorder="1"/>
    <xf numFmtId="175" fontId="51" fillId="5" borderId="1" xfId="4" applyNumberFormat="1" applyFont="1" applyFill="1" applyBorder="1"/>
    <xf numFmtId="178" fontId="48" fillId="5" borderId="1" xfId="3" applyNumberFormat="1" applyFont="1" applyFill="1" applyBorder="1" applyAlignment="1">
      <alignment vertical="top" wrapText="1"/>
    </xf>
    <xf numFmtId="0" fontId="48" fillId="5" borderId="0" xfId="0" applyFont="1" applyFill="1"/>
    <xf numFmtId="0" fontId="6" fillId="5" borderId="1" xfId="0" applyFont="1" applyFill="1" applyBorder="1"/>
    <xf numFmtId="174" fontId="48" fillId="5" borderId="0" xfId="0" applyNumberFormat="1" applyFont="1" applyFill="1"/>
    <xf numFmtId="0" fontId="51" fillId="5" borderId="0" xfId="0" applyFont="1" applyFill="1"/>
    <xf numFmtId="3" fontId="48" fillId="5" borderId="0" xfId="0" applyNumberFormat="1" applyFont="1" applyFill="1"/>
    <xf numFmtId="175" fontId="51" fillId="5" borderId="0" xfId="0" applyNumberFormat="1" applyFont="1" applyFill="1"/>
    <xf numFmtId="174" fontId="51" fillId="16" borderId="48" xfId="3" applyNumberFormat="1" applyFont="1" applyFill="1" applyBorder="1"/>
    <xf numFmtId="176" fontId="51" fillId="16" borderId="48" xfId="3" applyNumberFormat="1" applyFont="1" applyFill="1" applyBorder="1"/>
    <xf numFmtId="3" fontId="51" fillId="16" borderId="48" xfId="4" applyNumberFormat="1" applyFont="1" applyFill="1" applyBorder="1"/>
    <xf numFmtId="175" fontId="51" fillId="16" borderId="48" xfId="4" applyNumberFormat="1" applyFont="1" applyFill="1" applyBorder="1"/>
    <xf numFmtId="176" fontId="48" fillId="5" borderId="0" xfId="3" applyNumberFormat="1" applyFont="1" applyFill="1"/>
    <xf numFmtId="0" fontId="6" fillId="5" borderId="0" xfId="0" applyFont="1" applyFill="1" applyAlignment="1">
      <alignment vertical="center"/>
    </xf>
    <xf numFmtId="174" fontId="47" fillId="5" borderId="0" xfId="0" applyNumberFormat="1" applyFont="1" applyFill="1"/>
    <xf numFmtId="3" fontId="51" fillId="5" borderId="0" xfId="0" applyNumberFormat="1" applyFont="1" applyFill="1"/>
    <xf numFmtId="174" fontId="54" fillId="16" borderId="48" xfId="3" applyNumberFormat="1" applyFont="1" applyFill="1" applyBorder="1"/>
    <xf numFmtId="175" fontId="51" fillId="16" borderId="49" xfId="4" applyNumberFormat="1" applyFont="1" applyFill="1" applyBorder="1"/>
    <xf numFmtId="168" fontId="6" fillId="5" borderId="1" xfId="0" applyNumberFormat="1" applyFont="1" applyFill="1" applyBorder="1"/>
    <xf numFmtId="168" fontId="6" fillId="5" borderId="1" xfId="1" applyNumberFormat="1" applyFont="1" applyFill="1" applyBorder="1"/>
    <xf numFmtId="0" fontId="3" fillId="5" borderId="1" xfId="0" applyFont="1" applyFill="1" applyBorder="1"/>
    <xf numFmtId="175" fontId="48" fillId="5" borderId="1" xfId="5" applyNumberFormat="1" applyFont="1" applyFill="1" applyBorder="1" applyProtection="1"/>
    <xf numFmtId="0" fontId="6" fillId="5" borderId="0" xfId="0" applyFont="1" applyFill="1"/>
    <xf numFmtId="175" fontId="51" fillId="5" borderId="0" xfId="4" applyNumberFormat="1" applyFont="1" applyFill="1" applyBorder="1"/>
    <xf numFmtId="175" fontId="6" fillId="5" borderId="1" xfId="1" applyNumberFormat="1" applyFont="1" applyFill="1" applyBorder="1"/>
    <xf numFmtId="175" fontId="51" fillId="5" borderId="0" xfId="4" applyNumberFormat="1" applyFont="1" applyFill="1" applyBorder="1" applyAlignment="1">
      <alignment horizontal="center" vertical="center"/>
    </xf>
    <xf numFmtId="174" fontId="6" fillId="5" borderId="0" xfId="0" applyNumberFormat="1" applyFont="1" applyFill="1"/>
    <xf numFmtId="3" fontId="6" fillId="5" borderId="0" xfId="0" applyNumberFormat="1" applyFont="1" applyFill="1"/>
    <xf numFmtId="175" fontId="51" fillId="5" borderId="1" xfId="4" applyNumberFormat="1" applyFont="1" applyFill="1" applyBorder="1" applyAlignment="1">
      <alignment horizontal="center" vertical="center"/>
    </xf>
    <xf numFmtId="168" fontId="6" fillId="5" borderId="0" xfId="1" applyNumberFormat="1" applyFont="1" applyFill="1" applyBorder="1"/>
    <xf numFmtId="168" fontId="30" fillId="5" borderId="0" xfId="1" applyNumberFormat="1" applyFont="1" applyFill="1" applyBorder="1"/>
    <xf numFmtId="166" fontId="34" fillId="0" borderId="1" xfId="1" applyNumberFormat="1" applyFont="1" applyFill="1" applyBorder="1" applyAlignment="1">
      <alignment vertical="top" wrapText="1"/>
    </xf>
    <xf numFmtId="166" fontId="34" fillId="0" borderId="1" xfId="0" applyNumberFormat="1" applyFont="1" applyBorder="1" applyAlignment="1">
      <alignment vertical="top" wrapText="1"/>
    </xf>
    <xf numFmtId="0" fontId="56" fillId="0" borderId="1" xfId="0" applyFont="1" applyBorder="1" applyAlignment="1">
      <alignment vertical="center"/>
    </xf>
    <xf numFmtId="175" fontId="45" fillId="14" borderId="48" xfId="4" applyNumberFormat="1" applyFont="1" applyFill="1" applyBorder="1"/>
    <xf numFmtId="168" fontId="42" fillId="5" borderId="1" xfId="1" applyNumberFormat="1" applyFont="1" applyFill="1" applyBorder="1"/>
    <xf numFmtId="168" fontId="42" fillId="5" borderId="9" xfId="1" applyNumberFormat="1" applyFont="1" applyFill="1" applyBorder="1"/>
    <xf numFmtId="168" fontId="0" fillId="0" borderId="1" xfId="1" applyNumberFormat="1" applyFont="1" applyFill="1" applyBorder="1"/>
    <xf numFmtId="168" fontId="42" fillId="0" borderId="1" xfId="1" applyNumberFormat="1" applyFont="1" applyFill="1" applyBorder="1"/>
    <xf numFmtId="168" fontId="0" fillId="0" borderId="1" xfId="1" applyNumberFormat="1" applyFont="1" applyBorder="1"/>
    <xf numFmtId="0" fontId="43" fillId="0" borderId="1" xfId="0" applyFont="1" applyBorder="1"/>
    <xf numFmtId="14" fontId="0" fillId="0" borderId="1" xfId="0" applyNumberFormat="1" applyBorder="1"/>
    <xf numFmtId="168" fontId="0" fillId="5" borderId="1" xfId="1" applyNumberFormat="1" applyFont="1" applyFill="1" applyBorder="1"/>
    <xf numFmtId="168" fontId="53" fillId="5" borderId="1" xfId="1" applyNumberFormat="1" applyFont="1" applyFill="1" applyBorder="1"/>
    <xf numFmtId="168" fontId="30" fillId="5" borderId="1" xfId="1" applyNumberFormat="1" applyFont="1" applyFill="1" applyBorder="1"/>
    <xf numFmtId="0" fontId="44" fillId="0" borderId="1" xfId="0" applyFont="1" applyBorder="1" applyAlignment="1">
      <alignment horizontal="left" vertical="center"/>
    </xf>
    <xf numFmtId="0" fontId="48" fillId="5" borderId="2" xfId="0" applyFont="1" applyFill="1" applyBorder="1"/>
    <xf numFmtId="4" fontId="12" fillId="5" borderId="1" xfId="0" applyNumberFormat="1" applyFont="1" applyFill="1" applyBorder="1" applyAlignment="1">
      <alignment horizontal="center" vertical="center"/>
    </xf>
    <xf numFmtId="166" fontId="12" fillId="5" borderId="1" xfId="1" applyNumberFormat="1" applyFont="1" applyFill="1" applyBorder="1"/>
    <xf numFmtId="166" fontId="13" fillId="5" borderId="1" xfId="0" applyNumberFormat="1" applyFont="1" applyFill="1" applyBorder="1" applyAlignment="1">
      <alignment vertical="top" wrapText="1"/>
    </xf>
    <xf numFmtId="166" fontId="14" fillId="5" borderId="1" xfId="1" applyNumberFormat="1" applyFont="1" applyFill="1" applyBorder="1"/>
    <xf numFmtId="166" fontId="14" fillId="5" borderId="2" xfId="1" applyNumberFormat="1" applyFont="1" applyFill="1" applyBorder="1"/>
    <xf numFmtId="0" fontId="0" fillId="5" borderId="1" xfId="0" applyFill="1" applyBorder="1" applyAlignment="1">
      <alignment vertical="center"/>
    </xf>
    <xf numFmtId="166" fontId="10" fillId="5" borderId="1" xfId="1" applyNumberFormat="1" applyFont="1" applyFill="1" applyBorder="1"/>
    <xf numFmtId="166" fontId="15" fillId="5" borderId="1" xfId="0" applyNumberFormat="1" applyFont="1" applyFill="1" applyBorder="1" applyAlignment="1">
      <alignment vertical="top" wrapText="1"/>
    </xf>
    <xf numFmtId="175" fontId="49" fillId="15" borderId="0" xfId="4" applyNumberFormat="1" applyFont="1" applyFill="1" applyBorder="1" applyAlignment="1">
      <alignment horizontal="right" vertical="center"/>
    </xf>
    <xf numFmtId="178" fontId="55" fillId="0" borderId="0" xfId="3" applyNumberFormat="1" applyFont="1" applyAlignment="1">
      <alignment vertical="top" wrapText="1"/>
    </xf>
    <xf numFmtId="0" fontId="35" fillId="5" borderId="9" xfId="0" applyFont="1" applyFill="1" applyBorder="1"/>
    <xf numFmtId="14" fontId="48" fillId="0" borderId="1" xfId="0" applyNumberFormat="1" applyFont="1" applyBorder="1" applyAlignment="1">
      <alignment vertical="center"/>
    </xf>
    <xf numFmtId="179" fontId="61" fillId="15" borderId="1" xfId="4" applyNumberFormat="1" applyFont="1" applyFill="1" applyBorder="1"/>
    <xf numFmtId="0" fontId="50" fillId="5" borderId="1" xfId="0" applyFont="1" applyFill="1" applyBorder="1"/>
    <xf numFmtId="168" fontId="43" fillId="5" borderId="1" xfId="1" applyNumberFormat="1" applyFont="1" applyFill="1" applyBorder="1"/>
    <xf numFmtId="168" fontId="50" fillId="5" borderId="1" xfId="1" applyNumberFormat="1" applyFont="1" applyFill="1" applyBorder="1" applyProtection="1"/>
    <xf numFmtId="168" fontId="43" fillId="0" borderId="1" xfId="1" applyNumberFormat="1" applyFont="1" applyBorder="1"/>
    <xf numFmtId="0" fontId="57" fillId="5" borderId="1" xfId="0" applyFont="1" applyFill="1" applyBorder="1"/>
    <xf numFmtId="0" fontId="62" fillId="5" borderId="1" xfId="0" applyFont="1" applyFill="1" applyBorder="1"/>
    <xf numFmtId="3" fontId="48" fillId="5" borderId="9" xfId="0" applyNumberFormat="1" applyFont="1" applyFill="1" applyBorder="1"/>
    <xf numFmtId="184" fontId="8" fillId="2" borderId="1" xfId="0" applyNumberFormat="1" applyFont="1" applyFill="1" applyBorder="1" applyAlignment="1">
      <alignment horizontal="center" vertical="center" wrapText="1"/>
    </xf>
    <xf numFmtId="14" fontId="64" fillId="0" borderId="1" xfId="3" applyNumberFormat="1" applyFont="1" applyBorder="1" applyAlignment="1">
      <alignment horizontal="right"/>
    </xf>
    <xf numFmtId="0" fontId="65" fillId="0" borderId="1" xfId="0" applyFont="1" applyBorder="1"/>
    <xf numFmtId="1" fontId="66" fillId="0" borderId="1" xfId="0" applyNumberFormat="1" applyFont="1" applyBorder="1" applyAlignment="1">
      <alignment wrapText="1"/>
    </xf>
    <xf numFmtId="166" fontId="65" fillId="0" borderId="1" xfId="0" applyNumberFormat="1" applyFont="1" applyBorder="1"/>
    <xf numFmtId="185" fontId="65" fillId="0" borderId="1" xfId="0" applyNumberFormat="1" applyFont="1" applyBorder="1" applyAlignment="1">
      <alignment horizontal="right"/>
    </xf>
    <xf numFmtId="0" fontId="65" fillId="0" borderId="1" xfId="0" applyFont="1" applyBorder="1" applyAlignment="1">
      <alignment horizontal="right"/>
    </xf>
    <xf numFmtId="0" fontId="65" fillId="0" borderId="1" xfId="0" applyFont="1" applyBorder="1" applyAlignment="1">
      <alignment horizontal="right" vertical="center"/>
    </xf>
    <xf numFmtId="1" fontId="66" fillId="0" borderId="1" xfId="0" applyNumberFormat="1" applyFont="1" applyBorder="1"/>
    <xf numFmtId="0" fontId="66" fillId="0" borderId="1" xfId="0" applyFont="1" applyBorder="1" applyAlignment="1">
      <alignment vertical="top" wrapText="1"/>
    </xf>
    <xf numFmtId="0" fontId="67" fillId="0" borderId="1" xfId="0" applyFont="1" applyBorder="1" applyAlignment="1">
      <alignment horizontal="right"/>
    </xf>
    <xf numFmtId="0" fontId="68" fillId="0" borderId="1" xfId="0" applyFont="1" applyBorder="1" applyAlignment="1">
      <alignment horizontal="right"/>
    </xf>
    <xf numFmtId="14" fontId="65" fillId="0" borderId="1" xfId="3" applyNumberFormat="1" applyFont="1" applyBorder="1" applyAlignment="1">
      <alignment horizontal="right"/>
    </xf>
    <xf numFmtId="166" fontId="65" fillId="0" borderId="1" xfId="0" applyNumberFormat="1" applyFont="1" applyBorder="1" applyAlignment="1">
      <alignment vertical="center"/>
    </xf>
    <xf numFmtId="185" fontId="65" fillId="0" borderId="1" xfId="0" applyNumberFormat="1" applyFont="1" applyBorder="1" applyAlignment="1">
      <alignment horizontal="right" vertical="center"/>
    </xf>
    <xf numFmtId="0" fontId="67" fillId="0" borderId="1" xfId="0" applyFont="1" applyBorder="1"/>
    <xf numFmtId="0" fontId="69" fillId="0" borderId="1" xfId="0" applyFont="1" applyBorder="1" applyAlignment="1">
      <alignment horizontal="right"/>
    </xf>
    <xf numFmtId="185" fontId="65" fillId="0" borderId="1" xfId="1" applyNumberFormat="1" applyFont="1" applyFill="1" applyBorder="1" applyAlignment="1">
      <alignment horizontal="right"/>
    </xf>
    <xf numFmtId="166" fontId="67" fillId="0" borderId="1" xfId="1" applyNumberFormat="1" applyFont="1" applyFill="1" applyBorder="1" applyAlignment="1"/>
    <xf numFmtId="49" fontId="65" fillId="0" borderId="1" xfId="0" applyNumberFormat="1" applyFont="1" applyBorder="1" applyAlignment="1">
      <alignment horizontal="right" vertical="top" wrapText="1"/>
    </xf>
    <xf numFmtId="14" fontId="70" fillId="0" borderId="1" xfId="3" applyNumberFormat="1" applyFont="1" applyBorder="1" applyAlignment="1">
      <alignment horizontal="right"/>
    </xf>
    <xf numFmtId="14" fontId="67" fillId="0" borderId="1" xfId="3" applyNumberFormat="1" applyFont="1" applyBorder="1" applyAlignment="1">
      <alignment horizontal="right"/>
    </xf>
    <xf numFmtId="49" fontId="65" fillId="3" borderId="1" xfId="0" applyNumberFormat="1" applyFont="1" applyFill="1" applyBorder="1" applyAlignment="1">
      <alignment horizontal="right" vertical="top" wrapText="1"/>
    </xf>
    <xf numFmtId="0" fontId="67" fillId="0" borderId="1" xfId="12" applyFont="1" applyBorder="1"/>
    <xf numFmtId="0" fontId="65" fillId="17" borderId="1" xfId="0" applyFont="1" applyFill="1" applyBorder="1" applyAlignment="1">
      <alignment horizontal="right"/>
    </xf>
    <xf numFmtId="178" fontId="64" fillId="0" borderId="1" xfId="3" applyNumberFormat="1" applyFont="1" applyBorder="1" applyAlignment="1">
      <alignment horizontal="right" vertical="top"/>
    </xf>
    <xf numFmtId="14" fontId="65" fillId="0" borderId="1" xfId="3" applyNumberFormat="1" applyFont="1" applyBorder="1" applyAlignment="1">
      <alignment horizontal="right" vertical="top" wrapText="1"/>
    </xf>
    <xf numFmtId="0" fontId="67" fillId="0" borderId="1" xfId="0" applyFont="1" applyBorder="1" applyAlignment="1">
      <alignment horizontal="left" vertical="center"/>
    </xf>
    <xf numFmtId="0" fontId="65" fillId="17" borderId="1" xfId="0" applyFont="1" applyFill="1" applyBorder="1"/>
    <xf numFmtId="14" fontId="67" fillId="0" borderId="1" xfId="3" applyNumberFormat="1" applyFont="1" applyBorder="1" applyAlignment="1">
      <alignment horizontal="right" vertical="top" wrapText="1"/>
    </xf>
    <xf numFmtId="0" fontId="65" fillId="0" borderId="0" xfId="0" applyFont="1"/>
    <xf numFmtId="184" fontId="64" fillId="0" borderId="1" xfId="3" applyNumberFormat="1" applyFont="1" applyBorder="1"/>
    <xf numFmtId="3" fontId="65" fillId="0" borderId="1" xfId="0" applyNumberFormat="1" applyFont="1" applyBorder="1"/>
    <xf numFmtId="1" fontId="65" fillId="0" borderId="1" xfId="0" applyNumberFormat="1" applyFont="1" applyBorder="1"/>
    <xf numFmtId="173" fontId="65" fillId="0" borderId="1" xfId="0" applyNumberFormat="1" applyFont="1" applyBorder="1"/>
    <xf numFmtId="0" fontId="65" fillId="0" borderId="2" xfId="0" applyFont="1" applyBorder="1"/>
    <xf numFmtId="184" fontId="65" fillId="0" borderId="1" xfId="3" applyNumberFormat="1" applyFont="1" applyBorder="1"/>
    <xf numFmtId="3" fontId="65" fillId="0" borderId="1" xfId="0" applyNumberFormat="1" applyFont="1" applyBorder="1" applyAlignment="1">
      <alignment vertical="center"/>
    </xf>
    <xf numFmtId="1" fontId="65" fillId="0" borderId="1" xfId="0" applyNumberFormat="1" applyFont="1" applyBorder="1" applyAlignment="1">
      <alignment vertical="center"/>
    </xf>
    <xf numFmtId="0" fontId="65" fillId="0" borderId="1" xfId="0" applyFont="1" applyBorder="1" applyAlignment="1">
      <alignment vertical="center"/>
    </xf>
    <xf numFmtId="183" fontId="65" fillId="0" borderId="1" xfId="0" applyNumberFormat="1" applyFont="1" applyBorder="1"/>
    <xf numFmtId="0" fontId="65" fillId="5" borderId="1" xfId="0" applyFont="1" applyFill="1" applyBorder="1"/>
    <xf numFmtId="0" fontId="65" fillId="3" borderId="1" xfId="0" applyFont="1" applyFill="1" applyBorder="1"/>
    <xf numFmtId="168" fontId="65" fillId="0" borderId="2" xfId="1" applyNumberFormat="1" applyFont="1" applyBorder="1"/>
    <xf numFmtId="168" fontId="65" fillId="0" borderId="1" xfId="1" applyNumberFormat="1" applyFont="1" applyBorder="1"/>
    <xf numFmtId="182" fontId="65" fillId="0" borderId="1" xfId="0" applyNumberFormat="1" applyFont="1" applyBorder="1"/>
    <xf numFmtId="181" fontId="65" fillId="5" borderId="1" xfId="1" applyNumberFormat="1" applyFont="1" applyFill="1" applyBorder="1"/>
    <xf numFmtId="0" fontId="33" fillId="13" borderId="34" xfId="0" applyFont="1" applyFill="1" applyBorder="1" applyAlignment="1">
      <alignment vertical="top" wrapText="1"/>
    </xf>
    <xf numFmtId="49" fontId="32" fillId="18" borderId="1" xfId="0" applyNumberFormat="1" applyFont="1" applyFill="1" applyBorder="1" applyAlignment="1">
      <alignment vertical="top" wrapText="1"/>
    </xf>
    <xf numFmtId="166" fontId="32" fillId="18" borderId="1" xfId="0" applyNumberFormat="1" applyFont="1" applyFill="1" applyBorder="1" applyAlignment="1">
      <alignment vertical="top" wrapText="1"/>
    </xf>
    <xf numFmtId="166" fontId="32" fillId="18" borderId="1" xfId="0" applyNumberFormat="1" applyFont="1" applyFill="1" applyBorder="1" applyAlignment="1">
      <alignment vertical="center" wrapText="1"/>
    </xf>
    <xf numFmtId="166" fontId="32" fillId="18" borderId="1" xfId="1" applyNumberFormat="1" applyFont="1" applyFill="1" applyBorder="1" applyAlignment="1">
      <alignment vertical="top" wrapText="1"/>
    </xf>
    <xf numFmtId="0" fontId="58" fillId="5" borderId="1" xfId="0" applyFont="1" applyFill="1" applyBorder="1"/>
    <xf numFmtId="0" fontId="59" fillId="5" borderId="1" xfId="3" applyFont="1" applyFill="1" applyBorder="1"/>
    <xf numFmtId="0" fontId="60" fillId="5" borderId="1" xfId="3" applyFont="1" applyFill="1" applyBorder="1"/>
    <xf numFmtId="179" fontId="60" fillId="5" borderId="1" xfId="4" applyNumberFormat="1" applyFont="1" applyFill="1" applyBorder="1" applyAlignment="1">
      <alignment horizontal="right" vertical="top" wrapText="1"/>
    </xf>
    <xf numFmtId="178" fontId="60" fillId="5" borderId="1" xfId="3" applyNumberFormat="1" applyFont="1" applyFill="1" applyBorder="1" applyAlignment="1">
      <alignment vertical="top" wrapText="1"/>
    </xf>
    <xf numFmtId="178" fontId="60" fillId="5" borderId="1" xfId="3" applyNumberFormat="1" applyFont="1" applyFill="1" applyBorder="1" applyAlignment="1">
      <alignment vertical="top"/>
    </xf>
    <xf numFmtId="175" fontId="45" fillId="5" borderId="1" xfId="4" applyNumberFormat="1" applyFont="1" applyFill="1" applyBorder="1"/>
    <xf numFmtId="175" fontId="45" fillId="5" borderId="0" xfId="4" applyNumberFormat="1" applyFont="1" applyFill="1" applyBorder="1"/>
    <xf numFmtId="0" fontId="48" fillId="5" borderId="0" xfId="0" applyFont="1" applyFill="1" applyBorder="1"/>
    <xf numFmtId="0" fontId="71" fillId="5" borderId="1" xfId="0" applyFont="1" applyFill="1" applyBorder="1" applyAlignment="1">
      <alignment vertical="center"/>
    </xf>
    <xf numFmtId="168" fontId="43" fillId="0" borderId="1" xfId="1" applyNumberFormat="1" applyFont="1" applyFill="1" applyBorder="1"/>
    <xf numFmtId="168" fontId="63" fillId="0" borderId="1" xfId="1" applyNumberFormat="1" applyFont="1" applyFill="1" applyBorder="1"/>
    <xf numFmtId="3" fontId="51" fillId="16" borderId="55" xfId="4" applyNumberFormat="1" applyFont="1" applyFill="1" applyBorder="1"/>
    <xf numFmtId="175" fontId="51" fillId="16" borderId="56" xfId="4" applyNumberFormat="1" applyFont="1" applyFill="1" applyBorder="1"/>
    <xf numFmtId="3" fontId="51" fillId="16" borderId="1" xfId="4" applyNumberFormat="1" applyFont="1" applyFill="1" applyBorder="1"/>
    <xf numFmtId="1" fontId="48" fillId="5" borderId="1" xfId="0" applyNumberFormat="1" applyFont="1" applyFill="1" applyBorder="1" applyAlignment="1">
      <alignment vertical="center"/>
    </xf>
    <xf numFmtId="173" fontId="48" fillId="5" borderId="1" xfId="0" applyNumberFormat="1" applyFont="1" applyFill="1" applyBorder="1" applyAlignment="1">
      <alignment vertical="center"/>
    </xf>
    <xf numFmtId="0" fontId="0" fillId="0" borderId="0" xfId="0" applyNumberFormat="1"/>
    <xf numFmtId="171" fontId="38" fillId="0" borderId="1" xfId="3" applyNumberFormat="1" applyFont="1" applyBorder="1" applyAlignment="1"/>
    <xf numFmtId="171" fontId="38" fillId="19" borderId="1" xfId="3" applyNumberFormat="1" applyFont="1" applyFill="1" applyBorder="1" applyAlignment="1"/>
    <xf numFmtId="0" fontId="0" fillId="19" borderId="1" xfId="0" applyFill="1" applyBorder="1"/>
    <xf numFmtId="3" fontId="0" fillId="3" borderId="1" xfId="0" applyNumberFormat="1" applyFill="1" applyBorder="1"/>
    <xf numFmtId="168" fontId="63" fillId="5" borderId="1" xfId="1" applyNumberFormat="1" applyFont="1" applyFill="1" applyBorder="1"/>
    <xf numFmtId="168" fontId="35" fillId="5" borderId="1" xfId="1" applyNumberFormat="1" applyFont="1" applyFill="1" applyBorder="1"/>
    <xf numFmtId="0" fontId="44" fillId="5" borderId="1" xfId="0" applyFont="1" applyFill="1" applyBorder="1" applyAlignment="1">
      <alignment horizontal="left" vertical="center"/>
    </xf>
    <xf numFmtId="0" fontId="48" fillId="0" borderId="1" xfId="0" applyFont="1" applyBorder="1"/>
    <xf numFmtId="0" fontId="44" fillId="5" borderId="1" xfId="0" applyFont="1" applyFill="1" applyBorder="1" applyAlignment="1">
      <alignment horizontal="left"/>
    </xf>
    <xf numFmtId="0" fontId="48" fillId="5" borderId="1" xfId="0" applyFont="1" applyFill="1" applyBorder="1" applyAlignment="1">
      <alignment horizontal="left" vertical="center"/>
    </xf>
    <xf numFmtId="14" fontId="43" fillId="0" borderId="1" xfId="0" applyNumberFormat="1" applyFont="1" applyBorder="1"/>
    <xf numFmtId="0" fontId="73" fillId="0" borderId="0" xfId="0" applyFont="1"/>
    <xf numFmtId="168" fontId="44" fillId="5" borderId="1" xfId="1" applyNumberFormat="1" applyFont="1" applyFill="1" applyBorder="1"/>
    <xf numFmtId="0" fontId="0" fillId="5" borderId="0" xfId="0" applyFill="1"/>
    <xf numFmtId="14" fontId="74" fillId="5" borderId="1" xfId="3" applyNumberFormat="1" applyFont="1" applyFill="1" applyBorder="1" applyAlignment="1">
      <alignment horizontal="right"/>
    </xf>
    <xf numFmtId="0" fontId="73" fillId="5" borderId="1" xfId="0" applyFont="1" applyFill="1" applyBorder="1"/>
    <xf numFmtId="172" fontId="48" fillId="5" borderId="1" xfId="0" applyNumberFormat="1" applyFont="1" applyFill="1" applyBorder="1"/>
    <xf numFmtId="0" fontId="56" fillId="5" borderId="1" xfId="0" applyFont="1" applyFill="1" applyBorder="1" applyAlignment="1">
      <alignment vertical="center"/>
    </xf>
    <xf numFmtId="0" fontId="73" fillId="5" borderId="1" xfId="0" applyFont="1" applyFill="1" applyBorder="1" applyAlignment="1">
      <alignment vertical="center"/>
    </xf>
    <xf numFmtId="0" fontId="57" fillId="5" borderId="1" xfId="0" applyFont="1" applyFill="1" applyBorder="1" applyAlignment="1">
      <alignment vertical="center"/>
    </xf>
    <xf numFmtId="3" fontId="73" fillId="5" borderId="1" xfId="0" applyNumberFormat="1" applyFont="1" applyFill="1" applyBorder="1"/>
    <xf numFmtId="172" fontId="44" fillId="5" borderId="1" xfId="0" applyNumberFormat="1" applyFont="1" applyFill="1" applyBorder="1"/>
    <xf numFmtId="172" fontId="48" fillId="5" borderId="1" xfId="0" applyNumberFormat="1" applyFont="1" applyFill="1" applyBorder="1" applyAlignment="1">
      <alignment vertical="top"/>
    </xf>
    <xf numFmtId="168" fontId="73" fillId="5" borderId="1" xfId="1" applyNumberFormat="1" applyFont="1" applyFill="1" applyBorder="1"/>
    <xf numFmtId="186" fontId="73" fillId="5" borderId="1" xfId="0" applyNumberFormat="1" applyFont="1" applyFill="1" applyBorder="1"/>
    <xf numFmtId="0" fontId="63" fillId="5" borderId="1" xfId="0" applyFont="1" applyFill="1" applyBorder="1"/>
    <xf numFmtId="167" fontId="73" fillId="5" borderId="1" xfId="0" applyNumberFormat="1" applyFont="1" applyFill="1" applyBorder="1"/>
    <xf numFmtId="0" fontId="65" fillId="5" borderId="0" xfId="0" applyFont="1" applyFill="1"/>
    <xf numFmtId="0" fontId="75" fillId="5" borderId="1" xfId="0" applyFont="1" applyFill="1" applyBorder="1"/>
    <xf numFmtId="0" fontId="41" fillId="0" borderId="1" xfId="0" applyFont="1" applyBorder="1"/>
    <xf numFmtId="0" fontId="58" fillId="0" borderId="1" xfId="0" applyFont="1" applyBorder="1"/>
    <xf numFmtId="0" fontId="59" fillId="0" borderId="1" xfId="3" applyFont="1" applyBorder="1"/>
    <xf numFmtId="0" fontId="60" fillId="0" borderId="1" xfId="3" applyFont="1" applyBorder="1"/>
    <xf numFmtId="178" fontId="60" fillId="0" borderId="1" xfId="3" applyNumberFormat="1" applyFont="1" applyBorder="1" applyAlignment="1">
      <alignment vertical="top" wrapText="1"/>
    </xf>
    <xf numFmtId="14" fontId="48" fillId="5" borderId="1" xfId="0" applyNumberFormat="1" applyFont="1" applyFill="1" applyBorder="1" applyAlignment="1">
      <alignment vertical="center"/>
    </xf>
    <xf numFmtId="14" fontId="43" fillId="5" borderId="1" xfId="0" applyNumberFormat="1" applyFont="1" applyFill="1" applyBorder="1"/>
    <xf numFmtId="0" fontId="77" fillId="0" borderId="1" xfId="0" applyFont="1" applyBorder="1"/>
    <xf numFmtId="0" fontId="76" fillId="0" borderId="1" xfId="0" applyFont="1" applyBorder="1"/>
    <xf numFmtId="175" fontId="51" fillId="5" borderId="9" xfId="4" applyNumberFormat="1" applyFont="1" applyFill="1" applyBorder="1" applyAlignment="1">
      <alignment horizontal="center" vertical="center"/>
    </xf>
    <xf numFmtId="0" fontId="50" fillId="0" borderId="1" xfId="0" applyFont="1" applyBorder="1"/>
    <xf numFmtId="0" fontId="50" fillId="20" borderId="1" xfId="0" applyFont="1" applyFill="1" applyBorder="1"/>
    <xf numFmtId="14" fontId="43" fillId="5" borderId="1" xfId="0" applyNumberFormat="1" applyFont="1" applyFill="1" applyBorder="1" applyAlignment="1">
      <alignment horizontal="right"/>
    </xf>
    <xf numFmtId="171" fontId="38" fillId="0" borderId="1" xfId="3" applyNumberFormat="1" applyFont="1" applyBorder="1"/>
    <xf numFmtId="171" fontId="38" fillId="5" borderId="1" xfId="3" applyNumberFormat="1" applyFont="1" applyFill="1" applyBorder="1"/>
    <xf numFmtId="168" fontId="36" fillId="5" borderId="1" xfId="1" applyNumberFormat="1" applyFont="1" applyFill="1" applyBorder="1"/>
    <xf numFmtId="172" fontId="39" fillId="5" borderId="1" xfId="0" applyNumberFormat="1" applyFont="1" applyFill="1" applyBorder="1"/>
    <xf numFmtId="168" fontId="36" fillId="5" borderId="9" xfId="1" applyNumberFormat="1" applyFont="1" applyFill="1" applyBorder="1"/>
    <xf numFmtId="0" fontId="36" fillId="5" borderId="1" xfId="0" applyFont="1" applyFill="1" applyBorder="1" applyAlignment="1">
      <alignment horizontal="left"/>
    </xf>
    <xf numFmtId="171" fontId="38" fillId="5" borderId="1" xfId="3" applyNumberFormat="1" applyFont="1" applyFill="1" applyBorder="1" applyAlignment="1"/>
    <xf numFmtId="168" fontId="48" fillId="5" borderId="1" xfId="1" applyNumberFormat="1" applyFont="1" applyFill="1" applyBorder="1"/>
    <xf numFmtId="14" fontId="48" fillId="3" borderId="1" xfId="0" applyNumberFormat="1" applyFont="1" applyFill="1" applyBorder="1" applyAlignment="1">
      <alignment vertical="center"/>
    </xf>
    <xf numFmtId="14" fontId="59" fillId="0" borderId="1" xfId="0" applyNumberFormat="1" applyFont="1" applyBorder="1" applyAlignment="1">
      <alignment horizontal="right"/>
    </xf>
    <xf numFmtId="14" fontId="59" fillId="0" borderId="1" xfId="0" applyNumberFormat="1" applyFont="1" applyBorder="1"/>
    <xf numFmtId="14" fontId="59" fillId="3" borderId="1" xfId="0" applyNumberFormat="1" applyFont="1" applyFill="1" applyBorder="1"/>
    <xf numFmtId="14" fontId="44" fillId="0" borderId="1" xfId="0" applyNumberFormat="1" applyFont="1" applyBorder="1" applyAlignment="1">
      <alignment vertical="center"/>
    </xf>
    <xf numFmtId="14" fontId="59" fillId="5" borderId="1" xfId="0" applyNumberFormat="1" applyFont="1" applyFill="1" applyBorder="1" applyAlignment="1">
      <alignment horizontal="right" vertical="center"/>
    </xf>
    <xf numFmtId="14" fontId="48" fillId="0" borderId="1" xfId="0" applyNumberFormat="1" applyFont="1" applyBorder="1"/>
    <xf numFmtId="14" fontId="44" fillId="3" borderId="1" xfId="0" applyNumberFormat="1" applyFont="1" applyFill="1" applyBorder="1" applyAlignment="1">
      <alignment vertical="center"/>
    </xf>
    <xf numFmtId="14" fontId="48" fillId="5" borderId="1" xfId="0" applyNumberFormat="1" applyFont="1" applyFill="1" applyBorder="1" applyAlignment="1">
      <alignment horizontal="right"/>
    </xf>
    <xf numFmtId="14" fontId="48" fillId="5" borderId="1" xfId="0" applyNumberFormat="1" applyFont="1" applyFill="1" applyBorder="1"/>
    <xf numFmtId="14" fontId="48" fillId="3" borderId="1" xfId="0" applyNumberFormat="1" applyFont="1" applyFill="1" applyBorder="1"/>
    <xf numFmtId="14" fontId="51" fillId="5" borderId="1" xfId="0" applyNumberFormat="1" applyFont="1" applyFill="1" applyBorder="1"/>
    <xf numFmtId="14" fontId="59" fillId="3" borderId="1" xfId="0" applyNumberFormat="1" applyFont="1" applyFill="1" applyBorder="1" applyAlignment="1">
      <alignment horizontal="right" vertical="center"/>
    </xf>
    <xf numFmtId="14" fontId="45" fillId="2" borderId="3" xfId="0" applyNumberFormat="1" applyFont="1" applyFill="1" applyBorder="1" applyAlignment="1">
      <alignment horizontal="center" vertical="center" wrapText="1"/>
    </xf>
    <xf numFmtId="14" fontId="51" fillId="3" borderId="1" xfId="0" applyNumberFormat="1" applyFont="1" applyFill="1" applyBorder="1"/>
    <xf numFmtId="14" fontId="72" fillId="0" borderId="1" xfId="3" applyNumberFormat="1" applyFont="1" applyBorder="1"/>
    <xf numFmtId="14" fontId="72" fillId="5" borderId="1" xfId="3" applyNumberFormat="1" applyFont="1" applyFill="1" applyBorder="1"/>
    <xf numFmtId="14" fontId="48" fillId="0" borderId="0" xfId="0" applyNumberFormat="1" applyFont="1"/>
    <xf numFmtId="0" fontId="48" fillId="5" borderId="3" xfId="0" applyFont="1" applyFill="1" applyBorder="1" applyAlignment="1">
      <alignment vertical="center"/>
    </xf>
    <xf numFmtId="0" fontId="48" fillId="5" borderId="9" xfId="0" applyFont="1" applyFill="1" applyBorder="1" applyAlignment="1">
      <alignment vertical="center"/>
    </xf>
    <xf numFmtId="0" fontId="0" fillId="5" borderId="0" xfId="0" applyFill="1" applyBorder="1"/>
    <xf numFmtId="0" fontId="41" fillId="5" borderId="0" xfId="0" applyFont="1" applyFill="1" applyBorder="1"/>
    <xf numFmtId="168" fontId="35" fillId="5" borderId="0" xfId="1" applyNumberFormat="1" applyFont="1" applyFill="1" applyBorder="1"/>
    <xf numFmtId="41" fontId="0" fillId="0" borderId="1" xfId="11" applyFont="1" applyBorder="1"/>
    <xf numFmtId="186" fontId="48" fillId="5" borderId="1" xfId="0" applyNumberFormat="1" applyFont="1" applyFill="1" applyBorder="1"/>
    <xf numFmtId="0" fontId="44" fillId="5" borderId="1" xfId="0" applyFont="1" applyFill="1" applyBorder="1" applyAlignment="1">
      <alignment vertical="center"/>
    </xf>
    <xf numFmtId="0" fontId="59" fillId="5" borderId="1" xfId="0" applyFont="1" applyFill="1" applyBorder="1"/>
    <xf numFmtId="0" fontId="44" fillId="5" borderId="3" xfId="0" applyFont="1" applyFill="1" applyBorder="1" applyAlignment="1">
      <alignment vertical="center"/>
    </xf>
    <xf numFmtId="0" fontId="48" fillId="5" borderId="9" xfId="0" applyFont="1" applyFill="1" applyBorder="1"/>
    <xf numFmtId="0" fontId="51" fillId="5" borderId="1" xfId="0" applyFont="1" applyFill="1" applyBorder="1"/>
    <xf numFmtId="172" fontId="44" fillId="5" borderId="3" xfId="0" applyNumberFormat="1" applyFont="1" applyFill="1" applyBorder="1"/>
    <xf numFmtId="0" fontId="48" fillId="5" borderId="3" xfId="0" applyFont="1" applyFill="1" applyBorder="1"/>
    <xf numFmtId="168" fontId="44" fillId="5" borderId="3" xfId="1" applyNumberFormat="1" applyFont="1" applyFill="1" applyBorder="1"/>
    <xf numFmtId="178" fontId="59" fillId="5" borderId="1" xfId="3" applyNumberFormat="1" applyFont="1" applyFill="1" applyBorder="1" applyAlignment="1">
      <alignment vertical="top" wrapText="1"/>
    </xf>
    <xf numFmtId="178" fontId="59" fillId="5" borderId="1" xfId="3" applyNumberFormat="1" applyFont="1" applyFill="1" applyBorder="1" applyAlignment="1">
      <alignment vertical="top"/>
    </xf>
    <xf numFmtId="41" fontId="44" fillId="5" borderId="1" xfId="11" applyFont="1" applyFill="1" applyBorder="1" applyAlignment="1">
      <alignment vertical="center"/>
    </xf>
    <xf numFmtId="41" fontId="48" fillId="5" borderId="1" xfId="11" applyFont="1" applyFill="1" applyBorder="1" applyAlignment="1">
      <alignment vertical="center"/>
    </xf>
    <xf numFmtId="0" fontId="59" fillId="5" borderId="3" xfId="0" applyFont="1" applyFill="1" applyBorder="1"/>
    <xf numFmtId="0" fontId="59" fillId="5" borderId="3" xfId="3" applyFont="1" applyFill="1" applyBorder="1"/>
    <xf numFmtId="178" fontId="59" fillId="5" borderId="9" xfId="3" applyNumberFormat="1" applyFont="1" applyFill="1" applyBorder="1" applyAlignment="1">
      <alignment vertical="top"/>
    </xf>
    <xf numFmtId="0" fontId="44" fillId="5" borderId="9" xfId="0" applyFont="1" applyFill="1" applyBorder="1" applyAlignment="1">
      <alignment vertical="center"/>
    </xf>
    <xf numFmtId="0" fontId="59" fillId="5" borderId="9" xfId="0" applyFont="1" applyFill="1" applyBorder="1"/>
    <xf numFmtId="168" fontId="48" fillId="5" borderId="9" xfId="1" applyNumberFormat="1" applyFont="1" applyFill="1" applyBorder="1"/>
    <xf numFmtId="0" fontId="78" fillId="2" borderId="3" xfId="0" applyFont="1" applyFill="1" applyBorder="1" applyAlignment="1">
      <alignment horizontal="left" vertical="center" wrapText="1"/>
    </xf>
    <xf numFmtId="0" fontId="73" fillId="0" borderId="1" xfId="0" applyFont="1" applyBorder="1"/>
    <xf numFmtId="4" fontId="78" fillId="2" borderId="3" xfId="0" applyNumberFormat="1" applyFont="1" applyFill="1" applyBorder="1" applyAlignment="1">
      <alignment horizontal="right" vertical="center" wrapText="1"/>
    </xf>
    <xf numFmtId="167" fontId="78" fillId="2" borderId="3" xfId="0" applyNumberFormat="1" applyFont="1" applyFill="1" applyBorder="1" applyAlignment="1">
      <alignment horizontal="right" vertical="center" wrapText="1"/>
    </xf>
    <xf numFmtId="0" fontId="78" fillId="2" borderId="3" xfId="0" applyFont="1" applyFill="1" applyBorder="1" applyAlignment="1">
      <alignment horizontal="center" vertical="center" wrapText="1"/>
    </xf>
    <xf numFmtId="0" fontId="78" fillId="2" borderId="3" xfId="0" applyFont="1" applyFill="1" applyBorder="1" applyAlignment="1">
      <alignment horizontal="right" vertical="center" wrapText="1"/>
    </xf>
    <xf numFmtId="3" fontId="78" fillId="2" borderId="3" xfId="0" applyNumberFormat="1" applyFont="1" applyFill="1" applyBorder="1" applyAlignment="1">
      <alignment vertical="center" wrapText="1"/>
    </xf>
    <xf numFmtId="0" fontId="73" fillId="0" borderId="30" xfId="0" applyFont="1" applyBorder="1"/>
    <xf numFmtId="0" fontId="73" fillId="3" borderId="30" xfId="0" applyFont="1" applyFill="1" applyBorder="1"/>
    <xf numFmtId="0" fontId="73" fillId="3" borderId="0" xfId="0" applyFont="1" applyFill="1"/>
    <xf numFmtId="0" fontId="73" fillId="5" borderId="30" xfId="0" applyFont="1" applyFill="1" applyBorder="1"/>
    <xf numFmtId="0" fontId="73" fillId="5" borderId="0" xfId="0" applyFont="1" applyFill="1"/>
    <xf numFmtId="14" fontId="0" fillId="0" borderId="1" xfId="0" applyNumberFormat="1" applyBorder="1" applyAlignment="1">
      <alignment vertical="center"/>
    </xf>
    <xf numFmtId="0" fontId="71" fillId="0" borderId="1" xfId="0" applyFont="1" applyBorder="1" applyAlignment="1">
      <alignment vertical="center"/>
    </xf>
    <xf numFmtId="14" fontId="71" fillId="0" borderId="1" xfId="0" applyNumberFormat="1" applyFont="1" applyBorder="1" applyAlignment="1">
      <alignment vertical="center"/>
    </xf>
    <xf numFmtId="0" fontId="79" fillId="0" borderId="1" xfId="0" applyFont="1" applyBorder="1" applyAlignment="1">
      <alignment vertical="center"/>
    </xf>
    <xf numFmtId="0" fontId="80" fillId="0" borderId="1" xfId="0" applyFont="1" applyBorder="1" applyAlignment="1">
      <alignment vertical="center"/>
    </xf>
    <xf numFmtId="14" fontId="2" fillId="5" borderId="1" xfId="0" applyNumberFormat="1" applyFont="1" applyFill="1" applyBorder="1"/>
    <xf numFmtId="168" fontId="42" fillId="5" borderId="1" xfId="1" applyNumberFormat="1" applyFont="1" applyFill="1" applyBorder="1" applyProtection="1"/>
    <xf numFmtId="0" fontId="80" fillId="5" borderId="1" xfId="0" applyFont="1" applyFill="1" applyBorder="1" applyAlignment="1">
      <alignment vertical="center"/>
    </xf>
    <xf numFmtId="0" fontId="2" fillId="5" borderId="1" xfId="0" applyFont="1" applyFill="1" applyBorder="1"/>
    <xf numFmtId="14" fontId="76" fillId="5" borderId="1" xfId="0" applyNumberFormat="1" applyFont="1" applyFill="1" applyBorder="1"/>
    <xf numFmtId="41" fontId="76" fillId="5" borderId="1" xfId="11" applyFont="1" applyFill="1" applyBorder="1"/>
    <xf numFmtId="0" fontId="77" fillId="5" borderId="1" xfId="0" applyFont="1" applyFill="1" applyBorder="1"/>
    <xf numFmtId="0" fontId="76" fillId="5" borderId="1" xfId="0" applyFont="1" applyFill="1" applyBorder="1"/>
    <xf numFmtId="41" fontId="77" fillId="5" borderId="1" xfId="11" applyFont="1" applyFill="1" applyBorder="1"/>
    <xf numFmtId="14" fontId="76" fillId="0" borderId="1" xfId="0" applyNumberFormat="1" applyFont="1" applyBorder="1"/>
    <xf numFmtId="14" fontId="0" fillId="5" borderId="1" xfId="0" applyNumberFormat="1" applyFill="1" applyBorder="1"/>
    <xf numFmtId="168" fontId="2" fillId="0" borderId="1" xfId="1" applyNumberFormat="1" applyFont="1" applyFill="1" applyBorder="1"/>
    <xf numFmtId="14" fontId="1" fillId="5" borderId="1" xfId="0" applyNumberFormat="1" applyFont="1" applyFill="1" applyBorder="1"/>
    <xf numFmtId="168" fontId="1" fillId="5" borderId="9" xfId="1" applyNumberFormat="1" applyFont="1" applyFill="1" applyBorder="1"/>
    <xf numFmtId="168" fontId="1" fillId="5" borderId="1" xfId="1" applyNumberFormat="1" applyFont="1" applyFill="1" applyBorder="1"/>
    <xf numFmtId="0" fontId="81" fillId="5" borderId="1" xfId="0" applyFont="1" applyFill="1" applyBorder="1"/>
    <xf numFmtId="0" fontId="1" fillId="5" borderId="1" xfId="0" applyFont="1" applyFill="1" applyBorder="1"/>
    <xf numFmtId="0" fontId="82" fillId="0" borderId="1" xfId="0" applyFont="1" applyBorder="1"/>
    <xf numFmtId="0" fontId="81" fillId="0" borderId="1" xfId="0" applyFont="1" applyBorder="1"/>
    <xf numFmtId="0" fontId="1" fillId="0" borderId="1" xfId="0" applyFont="1" applyBorder="1"/>
    <xf numFmtId="0" fontId="48" fillId="0" borderId="9" xfId="0" applyFont="1" applyBorder="1"/>
    <xf numFmtId="0" fontId="82" fillId="5" borderId="1" xfId="0" applyFont="1" applyFill="1" applyBorder="1"/>
    <xf numFmtId="168" fontId="1" fillId="0" borderId="1" xfId="1" applyNumberFormat="1" applyFont="1" applyFill="1" applyBorder="1"/>
    <xf numFmtId="171" fontId="38" fillId="19" borderId="1" xfId="3" applyNumberFormat="1" applyFont="1" applyFill="1" applyBorder="1"/>
    <xf numFmtId="0" fontId="39" fillId="19" borderId="1" xfId="0" applyFont="1" applyFill="1" applyBorder="1" applyAlignment="1">
      <alignment horizontal="left"/>
    </xf>
    <xf numFmtId="172" fontId="40" fillId="19" borderId="1" xfId="0" applyNumberFormat="1" applyFont="1" applyFill="1" applyBorder="1"/>
    <xf numFmtId="172" fontId="39" fillId="19" borderId="1" xfId="0" applyNumberFormat="1" applyFont="1" applyFill="1" applyBorder="1"/>
    <xf numFmtId="168" fontId="36" fillId="19" borderId="1" xfId="1" applyNumberFormat="1" applyFont="1" applyFill="1" applyBorder="1"/>
    <xf numFmtId="168" fontId="35" fillId="19" borderId="1" xfId="1" applyNumberFormat="1" applyFont="1" applyFill="1" applyBorder="1"/>
    <xf numFmtId="3" fontId="0" fillId="19" borderId="1" xfId="0" applyNumberFormat="1" applyFill="1" applyBorder="1"/>
    <xf numFmtId="14" fontId="28" fillId="5" borderId="1" xfId="0" applyNumberFormat="1" applyFont="1" applyFill="1" applyBorder="1"/>
    <xf numFmtId="14" fontId="50" fillId="5" borderId="1" xfId="0" applyNumberFormat="1" applyFont="1" applyFill="1" applyBorder="1" applyAlignment="1">
      <alignment horizontal="right" vertical="center"/>
    </xf>
    <xf numFmtId="0" fontId="50" fillId="0" borderId="1" xfId="3" applyFont="1" applyBorder="1"/>
    <xf numFmtId="1" fontId="57" fillId="5" borderId="1" xfId="0" applyNumberFormat="1" applyFont="1" applyFill="1" applyBorder="1" applyAlignment="1">
      <alignment vertical="center"/>
    </xf>
    <xf numFmtId="173" fontId="57" fillId="5" borderId="1" xfId="0" applyNumberFormat="1" applyFont="1" applyFill="1" applyBorder="1" applyAlignment="1">
      <alignment vertical="center"/>
    </xf>
    <xf numFmtId="178" fontId="50" fillId="0" borderId="1" xfId="3" applyNumberFormat="1" applyFont="1" applyBorder="1" applyAlignment="1">
      <alignment vertical="top" wrapText="1"/>
    </xf>
    <xf numFmtId="0" fontId="80" fillId="0" borderId="1" xfId="0" applyFont="1" applyBorder="1"/>
    <xf numFmtId="14" fontId="57" fillId="5" borderId="1" xfId="0" applyNumberFormat="1" applyFont="1" applyFill="1" applyBorder="1" applyAlignment="1">
      <alignment horizontal="right"/>
    </xf>
    <xf numFmtId="168" fontId="56" fillId="5" borderId="1" xfId="1" applyNumberFormat="1" applyFont="1" applyFill="1" applyBorder="1"/>
    <xf numFmtId="0" fontId="57" fillId="0" borderId="1" xfId="0" applyFont="1" applyBorder="1"/>
    <xf numFmtId="168" fontId="56" fillId="0" borderId="1" xfId="1" applyNumberFormat="1" applyFont="1" applyFill="1" applyBorder="1"/>
    <xf numFmtId="14" fontId="57" fillId="5" borderId="1" xfId="0" applyNumberFormat="1" applyFont="1" applyFill="1" applyBorder="1"/>
    <xf numFmtId="168" fontId="57" fillId="0" borderId="1" xfId="1" applyNumberFormat="1" applyFont="1" applyBorder="1"/>
    <xf numFmtId="14" fontId="57" fillId="5" borderId="1" xfId="0" applyNumberFormat="1" applyFont="1" applyFill="1" applyBorder="1" applyAlignment="1">
      <alignment vertical="center"/>
    </xf>
    <xf numFmtId="14" fontId="57" fillId="0" borderId="1" xfId="0" applyNumberFormat="1" applyFont="1" applyBorder="1" applyAlignment="1">
      <alignment vertical="center"/>
    </xf>
    <xf numFmtId="0" fontId="57" fillId="0" borderId="1" xfId="0" applyFont="1" applyBorder="1" applyAlignment="1">
      <alignment vertical="center"/>
    </xf>
    <xf numFmtId="14" fontId="57" fillId="0" borderId="1" xfId="0" applyNumberFormat="1" applyFont="1" applyBorder="1"/>
    <xf numFmtId="41" fontId="57" fillId="5" borderId="1" xfId="11" applyFont="1" applyFill="1" applyBorder="1"/>
    <xf numFmtId="168" fontId="57" fillId="5" borderId="1" xfId="1" applyNumberFormat="1" applyFont="1" applyFill="1" applyBorder="1"/>
    <xf numFmtId="0" fontId="80" fillId="5" borderId="1" xfId="0" applyFont="1" applyFill="1" applyBorder="1"/>
    <xf numFmtId="0" fontId="57" fillId="5" borderId="1" xfId="0" applyFont="1" applyFill="1" applyBorder="1" applyAlignment="1">
      <alignment horizontal="left" vertical="center"/>
    </xf>
    <xf numFmtId="14" fontId="56" fillId="0" borderId="1" xfId="0" applyNumberFormat="1" applyFont="1" applyBorder="1" applyAlignment="1">
      <alignment vertical="center"/>
    </xf>
    <xf numFmtId="168" fontId="57" fillId="0" borderId="1" xfId="1" applyNumberFormat="1" applyFont="1" applyFill="1" applyBorder="1"/>
    <xf numFmtId="168" fontId="56" fillId="5" borderId="1" xfId="1" applyNumberFormat="1" applyFont="1" applyFill="1" applyBorder="1" applyProtection="1"/>
    <xf numFmtId="0" fontId="56" fillId="0" borderId="1" xfId="0" applyFont="1" applyBorder="1" applyAlignment="1">
      <alignment horizontal="left"/>
    </xf>
    <xf numFmtId="0" fontId="57" fillId="0" borderId="9" xfId="0" applyFont="1" applyBorder="1"/>
    <xf numFmtId="172" fontId="57" fillId="5" borderId="1" xfId="0" applyNumberFormat="1" applyFont="1" applyFill="1" applyBorder="1"/>
    <xf numFmtId="0" fontId="56" fillId="5" borderId="1" xfId="0" applyFont="1" applyFill="1" applyBorder="1" applyAlignment="1">
      <alignment horizontal="left"/>
    </xf>
    <xf numFmtId="0" fontId="57" fillId="5" borderId="9" xfId="0" applyFont="1" applyFill="1" applyBorder="1"/>
    <xf numFmtId="172" fontId="56" fillId="5" borderId="1" xfId="0" applyNumberFormat="1" applyFont="1" applyFill="1" applyBorder="1"/>
    <xf numFmtId="0" fontId="57" fillId="0" borderId="9" xfId="0" applyFont="1" applyBorder="1" applyAlignment="1">
      <alignment vertical="center"/>
    </xf>
    <xf numFmtId="41" fontId="73" fillId="0" borderId="1" xfId="11" applyFont="1" applyBorder="1"/>
    <xf numFmtId="0" fontId="84" fillId="0" borderId="0" xfId="0" applyFont="1"/>
    <xf numFmtId="168" fontId="83" fillId="0" borderId="0" xfId="1" applyNumberFormat="1" applyFont="1" applyFill="1" applyBorder="1"/>
    <xf numFmtId="0" fontId="62" fillId="0" borderId="0" xfId="0" applyFont="1" applyAlignment="1">
      <alignment vertical="center"/>
    </xf>
    <xf numFmtId="0" fontId="43" fillId="0" borderId="0" xfId="0" applyFont="1" applyAlignment="1">
      <alignment vertical="center"/>
    </xf>
    <xf numFmtId="0" fontId="85" fillId="0" borderId="0" xfId="0" applyFont="1" applyAlignment="1">
      <alignment vertical="center"/>
    </xf>
    <xf numFmtId="0" fontId="85" fillId="0" borderId="0" xfId="0" applyFont="1" applyAlignment="1">
      <alignment horizontal="right" vertical="center"/>
    </xf>
    <xf numFmtId="17" fontId="85" fillId="0" borderId="0" xfId="0" applyNumberFormat="1" applyFont="1" applyAlignment="1">
      <alignment vertical="center"/>
    </xf>
    <xf numFmtId="17" fontId="85" fillId="0" borderId="0" xfId="0" applyNumberFormat="1" applyFont="1" applyAlignment="1">
      <alignment horizontal="left" vertical="center"/>
    </xf>
    <xf numFmtId="0" fontId="85" fillId="0" borderId="22" xfId="0" applyFont="1" applyBorder="1" applyAlignment="1">
      <alignment vertical="center"/>
    </xf>
    <xf numFmtId="0" fontId="62" fillId="11" borderId="6" xfId="0" applyFont="1" applyFill="1" applyBorder="1" applyAlignment="1">
      <alignment vertical="center"/>
    </xf>
    <xf numFmtId="0" fontId="62" fillId="11" borderId="7" xfId="0" applyFont="1" applyFill="1" applyBorder="1" applyAlignment="1">
      <alignment vertical="center"/>
    </xf>
    <xf numFmtId="0" fontId="62" fillId="11" borderId="8" xfId="0" applyFont="1" applyFill="1" applyBorder="1" applyAlignment="1">
      <alignment vertical="center"/>
    </xf>
    <xf numFmtId="0" fontId="62" fillId="11" borderId="27" xfId="0" applyFont="1" applyFill="1" applyBorder="1" applyAlignment="1">
      <alignment vertical="center"/>
    </xf>
    <xf numFmtId="0" fontId="85" fillId="11" borderId="28" xfId="0" applyFont="1" applyFill="1" applyBorder="1" applyAlignment="1">
      <alignment horizontal="center" vertical="center"/>
    </xf>
    <xf numFmtId="0" fontId="85" fillId="11" borderId="9" xfId="0" applyFont="1" applyFill="1" applyBorder="1" applyAlignment="1">
      <alignment horizontal="center" vertical="center"/>
    </xf>
    <xf numFmtId="0" fontId="85" fillId="11" borderId="10" xfId="0" applyFont="1" applyFill="1" applyBorder="1" applyAlignment="1">
      <alignment horizontal="center" vertical="center"/>
    </xf>
    <xf numFmtId="0" fontId="85" fillId="11" borderId="11" xfId="0" applyFont="1" applyFill="1" applyBorder="1" applyAlignment="1">
      <alignment horizontal="center" vertical="center"/>
    </xf>
    <xf numFmtId="0" fontId="85" fillId="11" borderId="29" xfId="0" applyFont="1" applyFill="1" applyBorder="1" applyAlignment="1">
      <alignment horizontal="center" vertical="center"/>
    </xf>
    <xf numFmtId="171" fontId="72" fillId="0" borderId="1" xfId="3" applyNumberFormat="1" applyFont="1" applyBorder="1" applyAlignment="1"/>
    <xf numFmtId="166" fontId="62" fillId="0" borderId="16" xfId="0" applyNumberFormat="1" applyFont="1" applyBorder="1"/>
    <xf numFmtId="168" fontId="44" fillId="0" borderId="1" xfId="1" applyNumberFormat="1" applyFont="1" applyFill="1" applyBorder="1"/>
    <xf numFmtId="171" fontId="72" fillId="0" borderId="1" xfId="3" applyNumberFormat="1" applyFont="1" applyBorder="1"/>
    <xf numFmtId="168" fontId="48" fillId="0" borderId="1" xfId="1" applyNumberFormat="1" applyFont="1" applyBorder="1"/>
    <xf numFmtId="0" fontId="44" fillId="0" borderId="1" xfId="0" applyFont="1" applyBorder="1" applyAlignment="1">
      <alignment horizontal="left"/>
    </xf>
    <xf numFmtId="171" fontId="72" fillId="5" borderId="1" xfId="3" applyNumberFormat="1" applyFont="1" applyFill="1" applyBorder="1" applyAlignment="1"/>
    <xf numFmtId="171" fontId="72" fillId="5" borderId="1" xfId="3" applyNumberFormat="1" applyFont="1" applyFill="1" applyBorder="1"/>
    <xf numFmtId="168" fontId="44" fillId="5" borderId="9" xfId="1" applyNumberFormat="1" applyFont="1" applyFill="1" applyBorder="1"/>
    <xf numFmtId="171" fontId="72" fillId="19" borderId="1" xfId="3" applyNumberFormat="1" applyFont="1" applyFill="1" applyBorder="1"/>
    <xf numFmtId="0" fontId="44" fillId="19" borderId="1" xfId="0" applyFont="1" applyFill="1" applyBorder="1" applyAlignment="1">
      <alignment horizontal="left"/>
    </xf>
    <xf numFmtId="168" fontId="48" fillId="19" borderId="1" xfId="1" applyNumberFormat="1" applyFont="1" applyFill="1" applyBorder="1"/>
    <xf numFmtId="168" fontId="44" fillId="19" borderId="1" xfId="1" applyNumberFormat="1" applyFont="1" applyFill="1" applyBorder="1"/>
    <xf numFmtId="1" fontId="72" fillId="0" borderId="1" xfId="3" applyNumberFormat="1" applyFont="1" applyBorder="1"/>
    <xf numFmtId="0" fontId="44" fillId="0" borderId="4" xfId="0" applyFont="1" applyBorder="1" applyAlignment="1">
      <alignment horizontal="left"/>
    </xf>
    <xf numFmtId="14" fontId="43" fillId="0" borderId="1" xfId="0" applyNumberFormat="1" applyFont="1" applyBorder="1" applyAlignment="1">
      <alignment horizontal="left" vertical="center"/>
    </xf>
    <xf numFmtId="0" fontId="43" fillId="0" borderId="1" xfId="0" applyFont="1" applyBorder="1" applyAlignment="1">
      <alignment horizontal="center" vertical="center"/>
    </xf>
    <xf numFmtId="3" fontId="43" fillId="0" borderId="9" xfId="0" applyNumberFormat="1" applyFont="1" applyBorder="1" applyAlignment="1">
      <alignment vertical="center"/>
    </xf>
    <xf numFmtId="168" fontId="44" fillId="0" borderId="9" xfId="1" applyNumberFormat="1" applyFont="1" applyFill="1" applyBorder="1"/>
    <xf numFmtId="14" fontId="85" fillId="6" borderId="6" xfId="0" applyNumberFormat="1" applyFont="1" applyFill="1" applyBorder="1" applyAlignment="1">
      <alignment horizontal="left" vertical="center"/>
    </xf>
    <xf numFmtId="0" fontId="63" fillId="6" borderId="7" xfId="0" applyFont="1" applyFill="1" applyBorder="1" applyAlignment="1">
      <alignment vertical="center"/>
    </xf>
    <xf numFmtId="0" fontId="85" fillId="6" borderId="7" xfId="0" applyFont="1" applyFill="1" applyBorder="1" applyAlignment="1">
      <alignment vertical="center"/>
    </xf>
    <xf numFmtId="165" fontId="63" fillId="6" borderId="33" xfId="0" applyNumberFormat="1" applyFont="1" applyFill="1" applyBorder="1" applyAlignment="1">
      <alignment vertical="center"/>
    </xf>
    <xf numFmtId="0" fontId="63" fillId="6" borderId="33" xfId="0" applyFont="1" applyFill="1" applyBorder="1" applyAlignment="1">
      <alignment vertical="center"/>
    </xf>
    <xf numFmtId="0" fontId="43" fillId="0" borderId="34" xfId="0" applyFont="1" applyBorder="1" applyAlignment="1">
      <alignment vertical="center"/>
    </xf>
    <xf numFmtId="0" fontId="43" fillId="0" borderId="35" xfId="0" applyFont="1" applyBorder="1" applyAlignment="1">
      <alignment vertical="center"/>
    </xf>
    <xf numFmtId="3" fontId="63" fillId="0" borderId="36" xfId="0" applyNumberFormat="1" applyFont="1" applyBorder="1" applyAlignment="1">
      <alignment vertical="center"/>
    </xf>
    <xf numFmtId="0" fontId="63" fillId="0" borderId="0" xfId="0" applyFont="1" applyAlignment="1">
      <alignment vertical="center"/>
    </xf>
    <xf numFmtId="168" fontId="48" fillId="0" borderId="0" xfId="1" applyNumberFormat="1" applyFont="1" applyBorder="1"/>
    <xf numFmtId="3" fontId="63" fillId="0" borderId="0" xfId="0" applyNumberFormat="1" applyFont="1" applyAlignment="1">
      <alignment vertical="center"/>
    </xf>
    <xf numFmtId="0" fontId="86" fillId="0" borderId="0" xfId="0" applyFont="1" applyAlignment="1">
      <alignment vertical="center"/>
    </xf>
    <xf numFmtId="0" fontId="87" fillId="0" borderId="0" xfId="0" applyFont="1" applyAlignment="1">
      <alignment horizontal="center" vertical="center"/>
    </xf>
    <xf numFmtId="0" fontId="88" fillId="0" borderId="0" xfId="0" applyFont="1" applyAlignment="1">
      <alignment vertical="center"/>
    </xf>
    <xf numFmtId="0" fontId="43" fillId="0" borderId="0" xfId="0" applyFont="1"/>
    <xf numFmtId="0" fontId="62" fillId="0" borderId="0" xfId="0" applyFont="1"/>
    <xf numFmtId="166" fontId="43" fillId="0" borderId="0" xfId="0" applyNumberFormat="1" applyFont="1"/>
    <xf numFmtId="17" fontId="62" fillId="0" borderId="0" xfId="0" applyNumberFormat="1" applyFont="1" applyAlignment="1">
      <alignment horizontal="center"/>
    </xf>
    <xf numFmtId="0" fontId="90" fillId="0" borderId="39" xfId="0" applyFont="1" applyBorder="1" applyAlignment="1">
      <alignment vertical="center"/>
    </xf>
    <xf numFmtId="14" fontId="43" fillId="0" borderId="0" xfId="0" applyNumberFormat="1" applyFont="1"/>
    <xf numFmtId="0" fontId="63" fillId="0" borderId="39" xfId="0" applyFont="1" applyBorder="1" applyAlignment="1">
      <alignment vertical="center"/>
    </xf>
    <xf numFmtId="0" fontId="90" fillId="0" borderId="43" xfId="0" applyFont="1" applyBorder="1" applyAlignment="1">
      <alignment vertical="center"/>
    </xf>
    <xf numFmtId="166" fontId="62" fillId="0" borderId="0" xfId="0" applyNumberFormat="1" applyFont="1"/>
    <xf numFmtId="0" fontId="43" fillId="0" borderId="52" xfId="0" applyFont="1" applyBorder="1"/>
    <xf numFmtId="0" fontId="43" fillId="0" borderId="53" xfId="0" applyFont="1" applyBorder="1"/>
    <xf numFmtId="0" fontId="62" fillId="0" borderId="54" xfId="0" applyFont="1" applyBorder="1"/>
    <xf numFmtId="166" fontId="62" fillId="0" borderId="53" xfId="0" applyNumberFormat="1" applyFont="1" applyBorder="1"/>
    <xf numFmtId="166" fontId="62" fillId="0" borderId="30" xfId="0" applyNumberFormat="1" applyFont="1" applyBorder="1"/>
    <xf numFmtId="166" fontId="43" fillId="0" borderId="1" xfId="0" applyNumberFormat="1" applyFont="1" applyBorder="1"/>
    <xf numFmtId="166" fontId="43" fillId="0" borderId="30" xfId="0" applyNumberFormat="1" applyFont="1" applyBorder="1"/>
    <xf numFmtId="0" fontId="62" fillId="0" borderId="1" xfId="0" applyFont="1" applyBorder="1"/>
    <xf numFmtId="166" fontId="44" fillId="2" borderId="1" xfId="1" applyNumberFormat="1" applyFont="1" applyFill="1" applyBorder="1"/>
    <xf numFmtId="168" fontId="44" fillId="0" borderId="51" xfId="1" applyNumberFormat="1" applyFont="1" applyFill="1" applyBorder="1"/>
    <xf numFmtId="168" fontId="44" fillId="0" borderId="30" xfId="1" applyNumberFormat="1" applyFont="1" applyFill="1" applyBorder="1"/>
    <xf numFmtId="0" fontId="48" fillId="0" borderId="1" xfId="0" applyFont="1" applyBorder="1" applyAlignment="1">
      <alignment horizontal="left" vertical="center"/>
    </xf>
    <xf numFmtId="168" fontId="48" fillId="0" borderId="1" xfId="1" applyNumberFormat="1" applyFont="1" applyFill="1" applyBorder="1"/>
    <xf numFmtId="0" fontId="43" fillId="0" borderId="1" xfId="0" applyFont="1" applyBorder="1" applyAlignment="1">
      <alignment horizontal="center"/>
    </xf>
    <xf numFmtId="14" fontId="43" fillId="0" borderId="31" xfId="0" applyNumberFormat="1" applyFont="1" applyBorder="1"/>
    <xf numFmtId="0" fontId="43" fillId="0" borderId="47" xfId="0" applyFont="1" applyBorder="1" applyAlignment="1">
      <alignment horizontal="center"/>
    </xf>
    <xf numFmtId="0" fontId="43" fillId="0" borderId="40" xfId="0" applyFont="1" applyBorder="1"/>
    <xf numFmtId="166" fontId="43" fillId="0" borderId="47" xfId="0" applyNumberFormat="1" applyFont="1" applyBorder="1"/>
    <xf numFmtId="14" fontId="43" fillId="0" borderId="19" xfId="0" applyNumberFormat="1" applyFont="1" applyBorder="1"/>
    <xf numFmtId="0" fontId="43" fillId="0" borderId="32" xfId="0" applyFont="1" applyBorder="1"/>
    <xf numFmtId="166" fontId="43" fillId="0" borderId="32" xfId="0" applyNumberFormat="1" applyFont="1" applyBorder="1"/>
    <xf numFmtId="14" fontId="62" fillId="0" borderId="6" xfId="0" applyNumberFormat="1" applyFont="1" applyBorder="1"/>
    <xf numFmtId="0" fontId="62" fillId="0" borderId="7" xfId="0" applyFont="1" applyBorder="1"/>
    <xf numFmtId="0" fontId="62" fillId="0" borderId="8" xfId="0" applyFont="1" applyBorder="1"/>
    <xf numFmtId="166" fontId="62" fillId="0" borderId="45" xfId="0" applyNumberFormat="1" applyFont="1" applyBorder="1"/>
    <xf numFmtId="169" fontId="62" fillId="0" borderId="1" xfId="0" applyNumberFormat="1" applyFont="1" applyBorder="1"/>
    <xf numFmtId="0" fontId="43" fillId="0" borderId="45" xfId="0" applyFont="1" applyBorder="1"/>
    <xf numFmtId="166" fontId="62" fillId="0" borderId="1" xfId="0" applyNumberFormat="1" applyFont="1" applyBorder="1" applyAlignment="1">
      <alignment horizontal="right" wrapText="1"/>
    </xf>
    <xf numFmtId="0" fontId="62" fillId="0" borderId="45" xfId="0" applyFont="1" applyBorder="1"/>
    <xf numFmtId="166" fontId="43" fillId="0" borderId="27" xfId="0" applyNumberFormat="1" applyFont="1" applyBorder="1"/>
    <xf numFmtId="166" fontId="26" fillId="8" borderId="13" xfId="0" applyNumberFormat="1" applyFont="1" applyFill="1" applyBorder="1" applyAlignment="1">
      <alignment horizontal="center"/>
    </xf>
    <xf numFmtId="174" fontId="48" fillId="5" borderId="2" xfId="3" applyNumberFormat="1" applyFont="1" applyFill="1" applyBorder="1" applyAlignment="1">
      <alignment horizontal="center" vertical="top" wrapText="1"/>
    </xf>
    <xf numFmtId="174" fontId="48" fillId="5" borderId="46" xfId="3" applyNumberFormat="1" applyFont="1" applyFill="1" applyBorder="1" applyAlignment="1">
      <alignment horizontal="center" vertical="top" wrapText="1"/>
    </xf>
    <xf numFmtId="174" fontId="48" fillId="5" borderId="30" xfId="3" applyNumberFormat="1" applyFont="1" applyFill="1" applyBorder="1" applyAlignment="1">
      <alignment horizontal="center" vertical="top" wrapText="1"/>
    </xf>
    <xf numFmtId="0" fontId="51" fillId="5" borderId="0" xfId="0" applyFont="1" applyFill="1" applyAlignment="1">
      <alignment horizontal="center"/>
    </xf>
    <xf numFmtId="0" fontId="85" fillId="11" borderId="24" xfId="0" applyFont="1" applyFill="1" applyBorder="1" applyAlignment="1">
      <alignment horizontal="center" vertical="center"/>
    </xf>
    <xf numFmtId="0" fontId="85" fillId="11" borderId="25" xfId="0" applyFont="1" applyFill="1" applyBorder="1" applyAlignment="1">
      <alignment horizontal="center" vertical="center"/>
    </xf>
    <xf numFmtId="0" fontId="85" fillId="11" borderId="26" xfId="0" applyFont="1" applyFill="1" applyBorder="1" applyAlignment="1">
      <alignment horizontal="center" vertical="center"/>
    </xf>
    <xf numFmtId="0" fontId="89" fillId="0" borderId="11" xfId="0" applyFont="1" applyBorder="1" applyAlignment="1">
      <alignment horizontal="center" vertical="center"/>
    </xf>
    <xf numFmtId="0" fontId="89" fillId="0" borderId="37" xfId="0" applyFont="1" applyBorder="1" applyAlignment="1">
      <alignment horizontal="center" vertical="center"/>
    </xf>
    <xf numFmtId="0" fontId="89" fillId="0" borderId="38" xfId="0" applyFont="1" applyBorder="1" applyAlignment="1">
      <alignment horizontal="center" vertical="center"/>
    </xf>
    <xf numFmtId="166" fontId="90" fillId="0" borderId="40" xfId="0" applyNumberFormat="1" applyFont="1" applyBorder="1" applyAlignment="1">
      <alignment horizontal="left" vertical="center"/>
    </xf>
    <xf numFmtId="166" fontId="90" fillId="0" borderId="41" xfId="0" applyNumberFormat="1" applyFont="1" applyBorder="1" applyAlignment="1">
      <alignment horizontal="left" vertical="center"/>
    </xf>
    <xf numFmtId="49" fontId="91" fillId="0" borderId="0" xfId="0" applyNumberFormat="1" applyFont="1" applyAlignment="1">
      <alignment horizontal="left" vertical="center"/>
    </xf>
    <xf numFmtId="49" fontId="91" fillId="0" borderId="42" xfId="0" applyNumberFormat="1" applyFont="1" applyBorder="1" applyAlignment="1">
      <alignment horizontal="left" vertical="center"/>
    </xf>
    <xf numFmtId="166" fontId="90" fillId="0" borderId="22" xfId="0" applyNumberFormat="1" applyFont="1" applyBorder="1" applyAlignment="1">
      <alignment horizontal="center" vertical="center" wrapText="1"/>
    </xf>
    <xf numFmtId="166" fontId="90" fillId="0" borderId="44" xfId="0" applyNumberFormat="1" applyFont="1" applyBorder="1" applyAlignment="1">
      <alignment horizontal="center" vertical="center" wrapText="1"/>
    </xf>
  </cellXfs>
  <cellStyles count="13">
    <cellStyle name="Comma 2" xfId="8"/>
    <cellStyle name="Excel Built-in Comma" xfId="4"/>
    <cellStyle name="Excel Built-in Normal" xfId="3"/>
    <cellStyle name="Milliers" xfId="1" builtinId="3"/>
    <cellStyle name="Milliers [0]" xfId="11" builtinId="6"/>
    <cellStyle name="Milliers 2" xfId="5"/>
    <cellStyle name="Milliers 3" xfId="9"/>
    <cellStyle name="Milliers 4" xfId="6"/>
    <cellStyle name="Milliers 4 2" xfId="10"/>
    <cellStyle name="Normal" xfId="0" builtinId="0"/>
    <cellStyle name="Normal 2" xfId="7"/>
    <cellStyle name="Normal_Total expenses by date" xfId="2"/>
    <cellStyle name="Normal_Total expenses by date 2" xfId="1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4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3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365760</xdr:colOff>
      <xdr:row>5</xdr:row>
      <xdr:rowOff>76200</xdr:rowOff>
    </xdr:from>
    <xdr:to>
      <xdr:col>28</xdr:col>
      <xdr:colOff>376093</xdr:colOff>
      <xdr:row>55</xdr:row>
      <xdr:rowOff>121920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55EF944-A6AD-4834-9491-4DE2C042F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71280" y="1066800"/>
          <a:ext cx="7302673" cy="10058400"/>
        </a:xfrm>
        <a:prstGeom prst="rect">
          <a:avLst/>
        </a:prstGeom>
      </xdr:spPr>
    </xdr:pic>
    <xdr:clientData/>
  </xdr:twoCellAnchor>
  <xdr:twoCellAnchor editAs="oneCell">
    <xdr:from>
      <xdr:col>6</xdr:col>
      <xdr:colOff>251460</xdr:colOff>
      <xdr:row>5</xdr:row>
      <xdr:rowOff>121920</xdr:rowOff>
    </xdr:from>
    <xdr:to>
      <xdr:col>17</xdr:col>
      <xdr:colOff>261793</xdr:colOff>
      <xdr:row>55</xdr:row>
      <xdr:rowOff>167640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F55D5687-9DB9-4847-A47A-9C21E8505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64640" y="1112520"/>
          <a:ext cx="7302673" cy="10058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0</xdr:row>
      <xdr:rowOff>0</xdr:rowOff>
    </xdr:from>
    <xdr:to>
      <xdr:col>18</xdr:col>
      <xdr:colOff>10333</xdr:colOff>
      <xdr:row>57</xdr:row>
      <xdr:rowOff>68580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4CB393FE-CC02-4CAA-B60F-90D8A7ED0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6900" y="0"/>
          <a:ext cx="7302673" cy="1005840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Jana Hajduchová" id="{98584D5A-8469-40CB-92DE-DDEA7199F951}" userId="05fcd02066e7ea79" providerId="Windows Live"/>
</personList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er" refreshedDate="45935.741018981484" createdVersion="7" refreshedVersion="7" minRefreshableVersion="3" recordCount="52">
  <cacheSource type="worksheet">
    <worksheetSource ref="A1:E53" sheet="phone credit "/>
  </cacheSource>
  <cacheFields count="5">
    <cacheField name="Date+A1:E38" numFmtId="14">
      <sharedItems containsSemiMixedTypes="0" containsNonDate="0" containsDate="1" containsString="0" minDate="2025-09-01T00:00:00" maxDate="2025-09-30T00:00:00"/>
    </cacheField>
    <cacheField name="phone credit bought" numFmtId="0">
      <sharedItems containsString="0" containsBlank="1" containsNumber="1" containsInteger="1" minValue="5000" maxValue="220000"/>
    </cacheField>
    <cacheField name="distributed" numFmtId="0">
      <sharedItems containsString="0" containsBlank="1" containsNumber="1" containsInteger="1" minValue="7500" maxValue="12500"/>
    </cacheField>
    <cacheField name="balance" numFmtId="3">
      <sharedItems containsSemiMixedTypes="0" containsString="0" containsNumber="1" containsInteger="1" minValue="0" maxValue="220000"/>
    </cacheField>
    <cacheField name="name" numFmtId="0">
      <sharedItems containsBlank="1" count="13">
        <m/>
        <s v="Dovi"/>
        <s v="Parfaite"/>
        <s v="Crepin"/>
        <s v="Donald-Romeo"/>
        <s v="Roderlin"/>
        <s v="Abraham"/>
        <s v="Romain"/>
        <s v="Evariste"/>
        <s v="T73"/>
        <s v="G12"/>
        <s v="P29"/>
        <s v="IT87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Merveille Raison" refreshedDate="45935.97269166667" createdVersion="7" refreshedVersion="6" minRefreshableVersion="3" recordCount="107">
  <cacheSource type="worksheet">
    <worksheetSource ref="A1:J108" sheet="Cash journal  "/>
  </cacheSource>
  <cacheFields count="10">
    <cacheField name="Date" numFmtId="14">
      <sharedItems containsSemiMixedTypes="0" containsNonDate="0" containsDate="1" containsString="0" minDate="2025-09-01T00:00:00" maxDate="2025-10-01T00:00:00"/>
    </cacheField>
    <cacheField name="Details" numFmtId="0">
      <sharedItems/>
    </cacheField>
    <cacheField name="Type of expenses" numFmtId="0">
      <sharedItems containsBlank="1"/>
    </cacheField>
    <cacheField name="Department " numFmtId="0">
      <sharedItems containsBlank="1"/>
    </cacheField>
    <cacheField name="Spent " numFmtId="168">
      <sharedItems containsString="0" containsBlank="1" containsNumber="1" containsInteger="1" minValue="2000" maxValue="1200558"/>
    </cacheField>
    <cacheField name="Received" numFmtId="0">
      <sharedItems containsString="0" containsBlank="1" containsNumber="1" containsInteger="1" minValue="30000" maxValue="2000000"/>
    </cacheField>
    <cacheField name="Balance" numFmtId="168">
      <sharedItems containsSemiMixedTypes="0" containsString="0" containsNumber="1" containsInteger="1" minValue="2200" maxValue="2056980"/>
    </cacheField>
    <cacheField name="Name" numFmtId="0">
      <sharedItems containsBlank="1" count="16">
        <m/>
        <s v="BCI"/>
        <s v="Phone credit"/>
        <s v="Roderlin"/>
        <s v="Parfaite"/>
        <s v="Donald-Roméo"/>
        <s v="Crepin"/>
        <s v="Abraham"/>
        <s v="P29"/>
        <s v="T73"/>
        <s v="IT87"/>
        <s v="Evariste"/>
        <s v="DOVI"/>
        <s v="Romain"/>
        <s v="G12"/>
        <s v="Dahan"/>
      </sharedItems>
    </cacheField>
    <cacheField name="Receipt" numFmtId="0">
      <sharedItems containsBlank="1"/>
    </cacheField>
    <cacheField name="comment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Merveille Raison" refreshedDate="45936.006532175925" createdVersion="6" refreshedVersion="6" minRefreshableVersion="3" recordCount="2701">
  <cacheSource type="worksheet">
    <worksheetSource ref="A1:O2702" sheet="Global data "/>
  </cacheSource>
  <cacheFields count="16">
    <cacheField name="Date" numFmtId="0">
      <sharedItems containsSemiMixedTypes="0" containsNonDate="0" containsDate="1" containsString="0" minDate="2025-01-02T00:00:00" maxDate="2025-10-01T00:00:00" count="241">
        <d v="2025-01-02T00:00:00"/>
        <d v="2025-01-03T00:00:00"/>
        <d v="2025-01-06T00:00:00"/>
        <d v="2025-01-07T00:00:00"/>
        <d v="2025-01-08T00:00:00"/>
        <d v="2025-01-09T00:00:00"/>
        <d v="2025-01-10T00:00:00"/>
        <d v="2025-01-13T00:00:00"/>
        <d v="2025-01-14T00:00:00"/>
        <d v="2025-01-15T00:00:00"/>
        <d v="2025-01-16T00:00:00"/>
        <d v="2025-01-17T00:00:00"/>
        <d v="2025-01-18T00:00:00"/>
        <d v="2025-01-19T00:00:00"/>
        <d v="2025-01-20T00:00:00"/>
        <d v="2025-01-21T00:00:00"/>
        <d v="2025-01-22T00:00:00"/>
        <d v="2025-01-23T00:00:00"/>
        <d v="2025-01-24T00:00:00"/>
        <d v="2025-01-25T00:00:00"/>
        <d v="2025-01-26T00:00:00"/>
        <d v="2025-01-27T00:00:00"/>
        <d v="2025-01-28T00:00:00"/>
        <d v="2025-01-29T00:00:00"/>
        <d v="2025-01-30T00:00:00"/>
        <d v="2025-01-31T00:00:00"/>
        <d v="2025-02-03T00:00:00"/>
        <d v="2025-02-04T00:00:00"/>
        <d v="2025-02-05T00:00:00"/>
        <d v="2025-02-06T00:00:00"/>
        <d v="2025-02-07T00:00:00"/>
        <d v="2025-02-08T00:00:00"/>
        <d v="2025-02-09T00:00:00"/>
        <d v="2025-02-10T00:00:00"/>
        <d v="2025-02-11T00:00:00"/>
        <d v="2025-02-12T00:00:00"/>
        <d v="2025-02-13T00:00:00"/>
        <d v="2025-02-14T00:00:00"/>
        <d v="2025-02-15T00:00:00"/>
        <d v="2025-02-17T00:00:00"/>
        <d v="2025-02-18T00:00:00"/>
        <d v="2025-02-19T00:00:00"/>
        <d v="2025-02-20T00:00:00"/>
        <d v="2025-02-21T00:00:00"/>
        <d v="2025-02-22T00:00:00"/>
        <d v="2025-02-23T00:00:00"/>
        <d v="2025-02-24T00:00:00"/>
        <d v="2025-02-25T00:00:00"/>
        <d v="2025-02-26T00:00:00"/>
        <d v="2025-02-27T00:00:00"/>
        <d v="2025-02-28T00:00:00"/>
        <d v="2025-03-01T00:00:00"/>
        <d v="2025-03-03T00:00:00"/>
        <d v="2025-03-04T00:00:00"/>
        <d v="2025-03-05T00:00:00"/>
        <d v="2025-03-06T00:00:00"/>
        <d v="2025-03-07T00:00:00"/>
        <d v="2025-03-08T00:00:00"/>
        <d v="2025-03-10T00:00:00"/>
        <d v="2025-03-11T00:00:00"/>
        <d v="2025-03-12T00:00:00"/>
        <d v="2025-03-13T00:00:00"/>
        <d v="2025-03-14T00:00:00"/>
        <d v="2025-03-15T00:00:00"/>
        <d v="2025-03-16T00:00:00"/>
        <d v="2025-03-17T00:00:00"/>
        <d v="2025-03-18T00:00:00"/>
        <d v="2025-03-19T00:00:00"/>
        <d v="2025-03-20T00:00:00"/>
        <d v="2025-03-21T00:00:00"/>
        <d v="2025-03-22T00:00:00"/>
        <d v="2025-03-23T00:00:00"/>
        <d v="2025-03-24T00:00:00"/>
        <d v="2025-03-25T00:00:00"/>
        <d v="2025-03-26T00:00:00"/>
        <d v="2025-03-27T00:00:00"/>
        <d v="2025-03-28T00:00:00"/>
        <d v="2025-03-29T00:00:00"/>
        <d v="2025-03-31T00:00:00"/>
        <d v="2025-04-01T00:00:00"/>
        <d v="2025-04-02T00:00:00"/>
        <d v="2025-04-03T00:00:00"/>
        <d v="2025-04-04T00:00:00"/>
        <d v="2025-04-05T00:00:00"/>
        <d v="2025-04-07T00:00:00"/>
        <d v="2025-04-08T00:00:00"/>
        <d v="2025-04-09T00:00:00"/>
        <d v="2025-04-10T00:00:00"/>
        <d v="2025-04-11T00:00:00"/>
        <d v="2025-04-12T00:00:00"/>
        <d v="2025-04-13T00:00:00"/>
        <d v="2025-04-14T00:00:00"/>
        <d v="2025-04-15T00:00:00"/>
        <d v="2025-04-16T00:00:00"/>
        <d v="2025-04-17T00:00:00"/>
        <d v="2025-04-18T00:00:00"/>
        <d v="2025-04-19T00:00:00"/>
        <d v="2025-04-22T00:00:00"/>
        <d v="2025-04-23T00:00:00"/>
        <d v="2025-04-24T00:00:00"/>
        <d v="2025-04-25T00:00:00"/>
        <d v="2025-04-26T00:00:00"/>
        <d v="2025-04-27T00:00:00"/>
        <d v="2025-04-28T00:00:00"/>
        <d v="2025-04-29T00:00:00"/>
        <d v="2025-04-30T00:00:00"/>
        <d v="2025-05-01T00:00:00"/>
        <d v="2025-05-03T00:00:00"/>
        <d v="2025-05-05T00:00:00"/>
        <d v="2025-05-06T00:00:00"/>
        <d v="2025-05-07T00:00:00"/>
        <d v="2025-05-08T00:00:00"/>
        <d v="2025-05-09T00:00:00"/>
        <d v="2025-05-10T00:00:00"/>
        <d v="2025-05-12T00:00:00"/>
        <d v="2025-05-14T00:00:00"/>
        <d v="2025-05-15T00:00:00"/>
        <d v="2025-05-16T00:00:00"/>
        <d v="2025-05-19T00:00:00"/>
        <d v="2025-05-20T00:00:00"/>
        <d v="2025-05-21T00:00:00"/>
        <d v="2025-05-22T00:00:00"/>
        <d v="2025-05-23T00:00:00"/>
        <d v="2025-05-24T00:00:00"/>
        <d v="2025-05-25T00:00:00"/>
        <d v="2025-05-26T00:00:00"/>
        <d v="2025-05-27T00:00:00"/>
        <d v="2025-05-28T00:00:00"/>
        <d v="2025-05-29T00:00:00"/>
        <d v="2025-05-30T00:00:00"/>
        <d v="2025-05-31T00:00:00"/>
        <d v="2025-06-01T00:00:00"/>
        <d v="2025-06-02T00:00:00"/>
        <d v="2025-06-03T00:00:00"/>
        <d v="2025-06-04T00:00:00"/>
        <d v="2025-06-05T00:00:00"/>
        <d v="2025-06-06T00:00:00"/>
        <d v="2025-06-07T00:00:00"/>
        <d v="2025-06-08T00:00:00"/>
        <d v="2025-06-09T00:00:00"/>
        <d v="2025-06-10T00:00:00"/>
        <d v="2025-06-11T00:00:00"/>
        <d v="2025-06-12T00:00:00"/>
        <d v="2025-06-13T00:00:00"/>
        <d v="2025-06-14T00:00:00"/>
        <d v="2025-06-15T00:00:00"/>
        <d v="2025-06-16T00:00:00"/>
        <d v="2025-06-17T00:00:00"/>
        <d v="2025-06-18T00:00:00"/>
        <d v="2025-06-19T00:00:00"/>
        <d v="2025-06-20T00:00:00"/>
        <d v="2025-06-22T00:00:00"/>
        <d v="2025-06-23T00:00:00"/>
        <d v="2025-06-24T00:00:00"/>
        <d v="2025-06-25T00:00:00"/>
        <d v="2025-06-26T00:00:00"/>
        <d v="2025-06-27T00:00:00"/>
        <d v="2025-06-28T00:00:00"/>
        <d v="2025-06-29T00:00:00"/>
        <d v="2025-06-30T00:00:00"/>
        <d v="2025-07-01T00:00:00"/>
        <d v="2025-07-02T00:00:00"/>
        <d v="2025-07-03T00:00:00"/>
        <d v="2025-07-04T00:00:00"/>
        <d v="2025-07-05T00:00:00"/>
        <d v="2025-07-06T00:00:00"/>
        <d v="2025-07-07T00:00:00"/>
        <d v="2025-07-08T00:00:00"/>
        <d v="2025-07-09T00:00:00"/>
        <d v="2025-07-10T00:00:00"/>
        <d v="2025-07-11T00:00:00"/>
        <d v="2025-07-14T00:00:00"/>
        <d v="2025-07-15T00:00:00"/>
        <d v="2025-07-16T00:00:00"/>
        <d v="2025-07-17T00:00:00"/>
        <d v="2025-07-18T00:00:00"/>
        <d v="2025-07-21T00:00:00"/>
        <d v="2025-07-22T00:00:00"/>
        <d v="2025-07-23T00:00:00"/>
        <d v="2025-07-24T00:00:00"/>
        <d v="2025-07-25T00:00:00"/>
        <d v="2025-07-28T00:00:00"/>
        <d v="2025-07-29T00:00:00"/>
        <d v="2025-07-30T00:00:00"/>
        <d v="2025-07-31T00:00:00"/>
        <d v="2025-08-01T00:00:00"/>
        <d v="2025-08-04T00:00:00"/>
        <d v="2025-08-05T00:00:00"/>
        <d v="2025-08-06T00:00:00"/>
        <d v="2025-08-07T00:00:00"/>
        <d v="2025-08-08T00:00:00"/>
        <d v="2025-08-11T00:00:00"/>
        <d v="2025-08-12T00:00:00"/>
        <d v="2025-08-13T00:00:00"/>
        <d v="2025-08-14T00:00:00"/>
        <d v="2025-08-15T00:00:00"/>
        <d v="2025-08-16T00:00:00"/>
        <d v="2025-08-18T00:00:00"/>
        <d v="2025-08-19T00:00:00"/>
        <d v="2025-08-20T00:00:00"/>
        <d v="2025-08-21T00:00:00"/>
        <d v="2025-08-22T00:00:00"/>
        <d v="2025-08-23T00:00:00"/>
        <d v="2025-08-24T00:00:00"/>
        <d v="2025-08-25T00:00:00"/>
        <d v="2025-08-26T00:00:00"/>
        <d v="2025-08-27T00:00:00"/>
        <d v="2025-08-28T00:00:00"/>
        <d v="2025-08-29T00:00:00"/>
        <d v="2025-08-30T00:00:00"/>
        <d v="2025-08-31T00:00:00"/>
        <d v="2025-09-01T00:00:00"/>
        <d v="2025-09-02T00:00:00"/>
        <d v="2025-09-03T00:00:00"/>
        <d v="2025-09-04T00:00:00"/>
        <d v="2025-09-05T00:00:00"/>
        <d v="2025-09-06T00:00:00"/>
        <d v="2025-09-07T00:00:00"/>
        <d v="2025-09-08T00:00:00"/>
        <d v="2025-09-09T00:00:00"/>
        <d v="2025-09-10T00:00:00"/>
        <d v="2025-09-11T00:00:00"/>
        <d v="2025-09-12T00:00:00"/>
        <d v="2025-09-13T00:00:00"/>
        <d v="2025-09-14T00:00:00"/>
        <d v="2025-09-15T00:00:00"/>
        <d v="2025-09-16T00:00:00"/>
        <d v="2025-09-17T00:00:00"/>
        <d v="2025-09-18T00:00:00"/>
        <d v="2025-09-19T00:00:00"/>
        <d v="2025-09-20T00:00:00"/>
        <d v="2025-09-21T00:00:00"/>
        <d v="2025-09-22T00:00:00"/>
        <d v="2025-09-23T00:00:00"/>
        <d v="2025-09-24T00:00:00"/>
        <d v="2025-09-25T00:00:00"/>
        <d v="2025-09-26T00:00:00"/>
        <d v="2025-09-27T00:00:00"/>
        <d v="2025-09-28T00:00:00"/>
        <d v="2025-09-29T00:00:00"/>
        <d v="2025-09-30T00:00:00"/>
      </sharedItems>
      <fieldGroup par="15" base="0">
        <rangePr groupBy="days" startDate="2025-01-02T00:00:00" endDate="2025-10-01T00:00:00"/>
        <groupItems count="368">
          <s v="&lt;02/01/2025"/>
          <s v="01-janv"/>
          <s v="02-janv"/>
          <s v="03-janv"/>
          <s v="04-janv"/>
          <s v="05-janv"/>
          <s v="06-janv"/>
          <s v="07-janv"/>
          <s v="08-janv"/>
          <s v="09-janv"/>
          <s v="10-janv"/>
          <s v="11-janv"/>
          <s v="12-janv"/>
          <s v="13-janv"/>
          <s v="14-janv"/>
          <s v="15-janv"/>
          <s v="16-janv"/>
          <s v="17-janv"/>
          <s v="18-janv"/>
          <s v="19-janv"/>
          <s v="20-janv"/>
          <s v="21-janv"/>
          <s v="22-janv"/>
          <s v="23-janv"/>
          <s v="24-janv"/>
          <s v="25-janv"/>
          <s v="26-janv"/>
          <s v="27-janv"/>
          <s v="28-janv"/>
          <s v="29-janv"/>
          <s v="30-janv"/>
          <s v="31-janv"/>
          <s v="01-févr"/>
          <s v="02-févr"/>
          <s v="03-févr"/>
          <s v="04-févr"/>
          <s v="05-févr"/>
          <s v="06-févr"/>
          <s v="07-févr"/>
          <s v="08-févr"/>
          <s v="09-févr"/>
          <s v="10-févr"/>
          <s v="11-févr"/>
          <s v="12-févr"/>
          <s v="13-févr"/>
          <s v="14-févr"/>
          <s v="15-févr"/>
          <s v="16-févr"/>
          <s v="17-févr"/>
          <s v="18-févr"/>
          <s v="19-févr"/>
          <s v="20-févr"/>
          <s v="21-févr"/>
          <s v="22-févr"/>
          <s v="23-févr"/>
          <s v="24-févr"/>
          <s v="25-févr"/>
          <s v="26-févr"/>
          <s v="27-févr"/>
          <s v="28-févr"/>
          <s v="29-févr"/>
          <s v="01-mars"/>
          <s v="02-mars"/>
          <s v="03-mars"/>
          <s v="04-mars"/>
          <s v="05-mars"/>
          <s v="06-mars"/>
          <s v="07-mars"/>
          <s v="08-mars"/>
          <s v="09-mars"/>
          <s v="10-mars"/>
          <s v="11-mars"/>
          <s v="12-mars"/>
          <s v="13-mars"/>
          <s v="14-mars"/>
          <s v="15-mars"/>
          <s v="16-mars"/>
          <s v="17-mars"/>
          <s v="18-mars"/>
          <s v="19-mars"/>
          <s v="20-mars"/>
          <s v="21-mars"/>
          <s v="22-mars"/>
          <s v="23-mars"/>
          <s v="24-mars"/>
          <s v="25-mars"/>
          <s v="26-mars"/>
          <s v="27-mars"/>
          <s v="28-mars"/>
          <s v="29-mars"/>
          <s v="30-mars"/>
          <s v="31-mars"/>
          <s v="01-avr"/>
          <s v="02-avr"/>
          <s v="03-avr"/>
          <s v="04-avr"/>
          <s v="05-avr"/>
          <s v="06-avr"/>
          <s v="07-avr"/>
          <s v="08-avr"/>
          <s v="09-avr"/>
          <s v="10-avr"/>
          <s v="11-avr"/>
          <s v="12-avr"/>
          <s v="13-avr"/>
          <s v="14-avr"/>
          <s v="15-avr"/>
          <s v="16-avr"/>
          <s v="17-avr"/>
          <s v="18-avr"/>
          <s v="19-avr"/>
          <s v="20-avr"/>
          <s v="21-avr"/>
          <s v="22-avr"/>
          <s v="23-avr"/>
          <s v="24-avr"/>
          <s v="25-avr"/>
          <s v="26-avr"/>
          <s v="27-avr"/>
          <s v="28-avr"/>
          <s v="29-avr"/>
          <s v="30-avr"/>
          <s v="01-mai"/>
          <s v="02-mai"/>
          <s v="03-mai"/>
          <s v="04-mai"/>
          <s v="05-mai"/>
          <s v="06-mai"/>
          <s v="07-mai"/>
          <s v="08-mai"/>
          <s v="09-mai"/>
          <s v="10-mai"/>
          <s v="11-mai"/>
          <s v="12-mai"/>
          <s v="13-mai"/>
          <s v="14-mai"/>
          <s v="15-mai"/>
          <s v="16-mai"/>
          <s v="17-mai"/>
          <s v="18-mai"/>
          <s v="19-mai"/>
          <s v="20-mai"/>
          <s v="21-mai"/>
          <s v="22-mai"/>
          <s v="23-mai"/>
          <s v="24-mai"/>
          <s v="25-mai"/>
          <s v="26-mai"/>
          <s v="27-mai"/>
          <s v="28-mai"/>
          <s v="29-mai"/>
          <s v="30-mai"/>
          <s v="31-mai"/>
          <s v="01-juin"/>
          <s v="02-juin"/>
          <s v="03-juin"/>
          <s v="04-juin"/>
          <s v="05-juin"/>
          <s v="06-juin"/>
          <s v="07-juin"/>
          <s v="08-juin"/>
          <s v="09-juin"/>
          <s v="10-juin"/>
          <s v="11-juin"/>
          <s v="12-juin"/>
          <s v="13-juin"/>
          <s v="14-juin"/>
          <s v="15-juin"/>
          <s v="16-juin"/>
          <s v="17-juin"/>
          <s v="18-juin"/>
          <s v="19-juin"/>
          <s v="20-juin"/>
          <s v="21-juin"/>
          <s v="22-juin"/>
          <s v="23-juin"/>
          <s v="24-juin"/>
          <s v="25-juin"/>
          <s v="26-juin"/>
          <s v="27-juin"/>
          <s v="28-juin"/>
          <s v="29-juin"/>
          <s v="30-juin"/>
          <s v="01-juil"/>
          <s v="02-juil"/>
          <s v="03-juil"/>
          <s v="04-juil"/>
          <s v="05-juil"/>
          <s v="06-juil"/>
          <s v="07-juil"/>
          <s v="08-juil"/>
          <s v="09-juil"/>
          <s v="10-juil"/>
          <s v="11-juil"/>
          <s v="12-juil"/>
          <s v="13-juil"/>
          <s v="14-juil"/>
          <s v="15-juil"/>
          <s v="16-juil"/>
          <s v="17-juil"/>
          <s v="18-juil"/>
          <s v="19-juil"/>
          <s v="20-juil"/>
          <s v="21-juil"/>
          <s v="22-juil"/>
          <s v="23-juil"/>
          <s v="24-juil"/>
          <s v="25-juil"/>
          <s v="26-juil"/>
          <s v="27-juil"/>
          <s v="28-juil"/>
          <s v="29-juil"/>
          <s v="30-juil"/>
          <s v="31-juil"/>
          <s v="01-août"/>
          <s v="02-août"/>
          <s v="03-août"/>
          <s v="04-août"/>
          <s v="05-août"/>
          <s v="06-août"/>
          <s v="07-août"/>
          <s v="08-août"/>
          <s v="09-août"/>
          <s v="10-août"/>
          <s v="11-août"/>
          <s v="12-août"/>
          <s v="13-août"/>
          <s v="14-août"/>
          <s v="15-août"/>
          <s v="16-août"/>
          <s v="17-août"/>
          <s v="18-août"/>
          <s v="19-août"/>
          <s v="20-août"/>
          <s v="21-août"/>
          <s v="22-août"/>
          <s v="23-août"/>
          <s v="24-août"/>
          <s v="25-août"/>
          <s v="26-août"/>
          <s v="27-août"/>
          <s v="28-août"/>
          <s v="29-août"/>
          <s v="30-août"/>
          <s v="31-août"/>
          <s v="01-sept"/>
          <s v="02-sept"/>
          <s v="03-sept"/>
          <s v="04-sept"/>
          <s v="05-sept"/>
          <s v="06-sept"/>
          <s v="07-sept"/>
          <s v="08-sept"/>
          <s v="09-sept"/>
          <s v="10-sept"/>
          <s v="11-sept"/>
          <s v="12-sept"/>
          <s v="13-sept"/>
          <s v="14-sept"/>
          <s v="15-sept"/>
          <s v="16-sept"/>
          <s v="17-sept"/>
          <s v="18-sept"/>
          <s v="19-sept"/>
          <s v="20-sept"/>
          <s v="21-sept"/>
          <s v="22-sept"/>
          <s v="23-sept"/>
          <s v="24-sept"/>
          <s v="25-sept"/>
          <s v="26-sept"/>
          <s v="27-sept"/>
          <s v="28-sept"/>
          <s v="29-sept"/>
          <s v="30-sept"/>
          <s v="01-oct"/>
          <s v="02-oct"/>
          <s v="03-oct"/>
          <s v="04-oct"/>
          <s v="05-oct"/>
          <s v="06-oct"/>
          <s v="07-oct"/>
          <s v="08-oct"/>
          <s v="0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01-nov"/>
          <s v="02-nov"/>
          <s v="03-nov"/>
          <s v="04-nov"/>
          <s v="05-nov"/>
          <s v="06-nov"/>
          <s v="07-nov"/>
          <s v="08-nov"/>
          <s v="0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01-déc"/>
          <s v="02-déc"/>
          <s v="03-déc"/>
          <s v="04-déc"/>
          <s v="05-déc"/>
          <s v="06-déc"/>
          <s v="07-déc"/>
          <s v="08-déc"/>
          <s v="09-déc"/>
          <s v="10-déc"/>
          <s v="11-déc"/>
          <s v="12-déc"/>
          <s v="13-déc"/>
          <s v="14-déc"/>
          <s v="15-déc"/>
          <s v="16-déc"/>
          <s v="17-déc"/>
          <s v="18-déc"/>
          <s v="19-déc"/>
          <s v="20-déc"/>
          <s v="21-déc"/>
          <s v="22-déc"/>
          <s v="23-déc"/>
          <s v="24-déc"/>
          <s v="25-déc"/>
          <s v="26-déc"/>
          <s v="27-déc"/>
          <s v="28-déc"/>
          <s v="29-déc"/>
          <s v="30-déc"/>
          <s v="31-déc"/>
          <s v="&gt;01/10/2025"/>
        </groupItems>
      </fieldGroup>
    </cacheField>
    <cacheField name="Details" numFmtId="0">
      <sharedItems/>
    </cacheField>
    <cacheField name="Type of expenses" numFmtId="0">
      <sharedItems containsBlank="1"/>
    </cacheField>
    <cacheField name="Department " numFmtId="0">
      <sharedItems containsBlank="1"/>
    </cacheField>
    <cacheField name="Spent  in XAF" numFmtId="0">
      <sharedItems containsString="0" containsBlank="1" containsNumber="1" minValue="-60000" maxValue="2107400" count="348">
        <n v="20000"/>
        <n v="21000"/>
        <n v="95000"/>
        <n v="88000"/>
        <n v="10000"/>
        <n v="16000"/>
        <n v="11000"/>
        <n v="25000"/>
        <n v="300000"/>
        <n v="500000"/>
        <n v="260000"/>
        <n v="150000"/>
        <n v="7000"/>
        <n v="100000"/>
        <n v="226000"/>
        <n v="22640"/>
        <n v="1860"/>
        <n v="80000"/>
        <n v="160000"/>
        <n v="32070"/>
        <n v="59466"/>
        <n v="70000"/>
        <n v="45000"/>
        <n v="60000"/>
        <n v="1000"/>
        <n v="245000"/>
        <n v="8100"/>
        <n v="9750"/>
        <n v="31000"/>
        <n v="35000"/>
        <n v="50000"/>
        <n v="5000"/>
        <n v="120000"/>
        <n v="8500"/>
        <n v="10100"/>
        <n v="90000"/>
        <n v="9600"/>
        <n v="8000"/>
        <n v="72000"/>
        <n v="19600"/>
        <n v="9700"/>
        <n v="6055"/>
        <n v="6720"/>
        <n v="176000"/>
        <n v="30000"/>
        <n v="12000"/>
        <n v="105000"/>
        <m/>
        <n v="12500"/>
        <n v="195000"/>
        <n v="24675"/>
        <n v="26000"/>
        <n v="154000"/>
        <n v="14500"/>
        <n v="3330"/>
        <n v="7500"/>
        <n v="21030"/>
        <n v="1311000"/>
        <n v="200000"/>
        <n v="551482"/>
        <n v="384789"/>
        <n v="336400"/>
        <n v="238140"/>
        <n v="6000"/>
        <n v="15000"/>
        <n v="13500"/>
        <n v="240000"/>
        <n v="3000"/>
        <n v="127070"/>
        <n v="17500"/>
        <n v="2000"/>
        <n v="62500"/>
        <n v="10665"/>
        <n v="75625"/>
        <n v="70200"/>
        <n v="2500"/>
        <n v="32000"/>
        <n v="39300"/>
        <n v="54800"/>
        <n v="63400"/>
        <n v="38500"/>
        <n v="33500"/>
        <n v="24500"/>
        <n v="148000"/>
        <n v="25500"/>
        <n v="174625"/>
        <n v="41000"/>
        <n v="45050"/>
        <n v="38000"/>
        <n v="255000"/>
        <n v="335000"/>
        <n v="400000"/>
        <n v="42000"/>
        <n v="74000"/>
        <n v="9000"/>
        <n v="63000"/>
        <n v="230000"/>
        <n v="190000"/>
        <n v="4500"/>
        <n v="4830.0000000000009"/>
        <n v="13615"/>
        <n v="4000"/>
        <n v="39500"/>
        <n v="4110"/>
        <n v="94430"/>
        <n v="170000"/>
        <n v="1980"/>
        <n v="129464"/>
        <n v="80500"/>
        <n v="227686"/>
        <n v="1952"/>
        <n v="55000"/>
        <n v="11310"/>
        <n v="180000"/>
        <n v="130000"/>
        <n v="14250"/>
        <n v="75000"/>
        <n v="14700"/>
        <n v="68000"/>
        <n v="10500"/>
        <n v="1500"/>
        <n v="210000"/>
        <n v="18000"/>
        <n v="5100"/>
        <n v="9800"/>
        <n v="10980"/>
        <n v="40100"/>
        <n v="29000"/>
        <n v="26900"/>
        <n v="560"/>
        <n v="14000"/>
        <n v="35500"/>
        <n v="182000"/>
        <n v="7020"/>
        <n v="66800"/>
        <n v="53700"/>
        <n v="66500"/>
        <n v="135000"/>
        <n v="47000"/>
        <n v="65000"/>
        <n v="405000"/>
        <n v="460000"/>
        <n v="9900"/>
        <n v="131428"/>
        <n v="8700"/>
        <n v="40000"/>
        <n v="165000"/>
        <n v="4170"/>
        <n v="112000"/>
        <n v="72102"/>
        <n v="2107400"/>
        <n v="24268"/>
        <n v="398693"/>
        <n v="18255"/>
        <n v="56550"/>
        <n v="1740"/>
        <n v="12690"/>
        <n v="19830"/>
        <n v="2017"/>
        <n v="6320"/>
        <n v="14640"/>
        <n v="11800"/>
        <n v="90100"/>
        <n v="225000"/>
        <n v="8900"/>
        <n v="19200"/>
        <n v="140000"/>
        <n v="7780"/>
        <n v="6300"/>
        <n v="101000"/>
        <n v="275000"/>
        <n v="11820"/>
        <n v="193548"/>
        <n v="52635"/>
        <n v="28400"/>
        <n v="41500"/>
        <n v="8825"/>
        <n v="43650"/>
        <n v="375000"/>
        <n v="46875"/>
        <n v="83200"/>
        <n v="49400"/>
        <n v="61000"/>
        <n v="30100"/>
        <n v="89800"/>
        <n v="50500"/>
        <n v="53000"/>
        <n v="16890"/>
        <n v="33000"/>
        <n v="28000"/>
        <n v="122000"/>
        <n v="285000"/>
        <n v="67051"/>
        <n v="20500"/>
        <n v="4363"/>
        <n v="12600"/>
        <n v="31500"/>
        <n v="36000"/>
        <n v="5130"/>
        <n v="14710"/>
        <n v="14390"/>
        <n v="368700"/>
        <n v="107230"/>
        <n v="103494"/>
        <n v="65179"/>
        <n v="256525"/>
        <n v="127560"/>
        <n v="5950"/>
        <n v="34300"/>
        <n v="55500"/>
        <n v="37750"/>
        <n v="31250"/>
        <n v="48400"/>
        <n v="23600"/>
        <n v="3253"/>
        <n v="41900"/>
        <n v="144000"/>
        <n v="27000"/>
        <n v="59500"/>
        <n v="453388"/>
        <n v="56000"/>
        <n v="21200"/>
        <n v="40500"/>
        <n v="199400"/>
        <n v="72100"/>
        <n v="46800"/>
        <n v="440000"/>
        <n v="124000"/>
        <n v="3225"/>
        <n v="4960"/>
        <n v="47400"/>
        <n v="3270"/>
        <n v="68737"/>
        <n v="23970"/>
        <n v="23000"/>
        <n v="43500"/>
        <n v="42960"/>
        <n v="4750"/>
        <n v="89773"/>
        <n v="94900"/>
        <n v="3800"/>
        <n v="1400"/>
        <n v="13000"/>
        <n v="2625"/>
        <n v="315000"/>
        <n v="64100"/>
        <n v="25200"/>
        <n v="15166"/>
        <n v="19783"/>
        <n v="17268"/>
        <n v="48500"/>
        <n v="3750"/>
        <n v="28700"/>
        <n v="57000"/>
        <n v="21500"/>
        <n v="11200"/>
        <n v="14100"/>
        <n v="125000"/>
        <n v="26400"/>
        <n v="58400"/>
        <n v="99500"/>
        <n v="46000"/>
        <n v="155200"/>
        <n v="5675"/>
        <n v="36250"/>
        <n v="162000"/>
        <n v="111000"/>
        <n v="79500"/>
        <n v="15500"/>
        <n v="5550"/>
        <n v="875"/>
        <n v="550000"/>
        <n v="355000"/>
        <n v="22000"/>
        <n v="22500"/>
        <n v="220293"/>
        <n v="1600"/>
        <n v="420000"/>
        <n v="34500"/>
        <n v="132000"/>
        <n v="32100"/>
        <n v="82000"/>
        <n v="175000"/>
        <n v="61800"/>
        <n v="39000"/>
        <n v="49000"/>
        <n v="45700"/>
        <n v="-60000"/>
        <n v="786600"/>
        <n v="524400"/>
        <n v="177789"/>
        <n v="118814"/>
        <n v="124433"/>
        <n v="155330"/>
        <n v="500"/>
        <n v="700"/>
        <n v="71274"/>
        <n v="1037411"/>
        <n v="70968"/>
        <n v="66000"/>
        <n v="115000"/>
        <n v="370000"/>
        <n v="159677"/>
        <n v="37000"/>
        <n v="32940"/>
        <n v="11700"/>
        <n v="3500"/>
        <n v="2750"/>
        <n v="1900"/>
        <n v="3700"/>
        <n v="300"/>
        <n v="3180"/>
        <n v="31890"/>
        <n v="68500"/>
        <n v="12985"/>
        <n v="350000"/>
        <n v="23250"/>
        <n v="258800"/>
        <n v="228800"/>
        <n v="390827"/>
        <n v="328000"/>
        <n v="266940"/>
        <n v="3900"/>
        <n v="10020"/>
        <n v="84000"/>
        <n v="8250"/>
        <n v="222097"/>
        <n v="9360"/>
        <n v="113500"/>
        <n v="7950"/>
        <n v="450000"/>
        <n v="310000"/>
        <n v="600"/>
        <n v="14790"/>
        <n v="24400"/>
        <n v="27500"/>
        <n v="7860"/>
        <n v="7200"/>
        <n v="270000"/>
        <n v="55270"/>
        <n v="3600"/>
        <n v="2278"/>
        <n v="11500"/>
        <n v="19000"/>
        <n v="2800"/>
        <n v="15625"/>
        <n v="122074"/>
        <n v="390000"/>
      </sharedItems>
    </cacheField>
    <cacheField name="Spent in $" numFmtId="0">
      <sharedItems containsString="0" containsBlank="1" containsNumber="1" minValue="-106.96283868534969" maxValue="3635.6672865852611" count="735">
        <n v="35.074489446962986"/>
        <n v="36.828213919311132"/>
        <n v="166.60382487307419"/>
        <n v="154.32775356663714"/>
        <n v="17.537244723481493"/>
        <n v="28.059591557570389"/>
        <n v="19.290969195829643"/>
        <n v="43.843111808703732"/>
        <n v="526.11734170444481"/>
        <n v="838.65459674971032"/>
        <n v="436.10039030984933"/>
        <n v="251.59637902491309"/>
        <n v="12.276071306437045"/>
        <n v="175.37244723481493"/>
        <n v="396.34173075068173"/>
        <n v="39.704322053962102"/>
        <n v="3.2619275185675578"/>
        <n v="140.29795778785194"/>
        <n v="280.59591557570388"/>
        <n v="56.241943828205144"/>
        <n v="263.05867085222241"/>
        <n v="104.28697947265505"/>
        <n v="122.76071306437045"/>
        <n v="78.917601255666725"/>
        <n v="105.22346834088896"/>
        <n v="1.7537244723481493"/>
        <n v="429.66249572529659"/>
        <n v="14.205168226020009"/>
        <n v="17.098813605394454"/>
        <n v="54.365458642792625"/>
        <n v="61.380356532185225"/>
        <n v="87.686223617407464"/>
        <n v="8.7686223617407464"/>
        <n v="210.44693668177791"/>
        <n v="14.90665801495927"/>
        <n v="17.712617170716307"/>
        <n v="157.83520251133345"/>
        <n v="16.835754934542233"/>
        <n v="14.029795778785195"/>
        <n v="126.26816200906674"/>
        <n v="34.372999658023723"/>
        <n v="17.011127381777047"/>
        <n v="10.618801680068044"/>
        <n v="11.785028454179564"/>
        <n v="308.65550713327428"/>
        <n v="52.611734170444478"/>
        <n v="21.044693668177793"/>
        <n v="184.14106959655567"/>
        <m/>
        <n v="50.319275804982617"/>
        <n v="20.966364918742755"/>
        <n v="327.07529273238703"/>
        <n v="33.546183869988411"/>
        <n v="11.741164354495943"/>
        <n v="43.273151355190585"/>
        <n v="43.610039030984936"/>
        <n v="258.30561579891076"/>
        <n v="134.18473547995364"/>
        <n v="24.320983305741599"/>
        <n v="5.5854396143530707"/>
        <n v="12.579818951245654"/>
        <n v="35.22349306348783"/>
        <n v="35.273812339292817"/>
        <n v="2198.9523526777402"/>
        <n v="335.46183869988408"/>
        <n v="925.00582864944738"/>
        <n v="645.41012725744849"/>
        <n v="564.24681269320502"/>
        <n v="399.43441133995202"/>
        <n v="8.3865459674971028"/>
        <n v="10.063855160996523"/>
        <n v="25.159637902491308"/>
        <n v="13.418473547995363"/>
        <n v="22.643674112242177"/>
        <n v="402.55420643986093"/>
        <n v="100.63855160996523"/>
        <n v="5.0319275804982615"/>
        <n v="213.13567921797136"/>
        <n v="30.690178266092612"/>
        <n v="10.522346834088896"/>
        <n v="3.3546183869988409"/>
        <n v="104.83182459371379"/>
        <n v="17.888502548671319"/>
        <n v="126.84650775839368"/>
        <n v="123.11145795884008"/>
        <n v="4.1932729837485514"/>
        <n v="56.119183115140778"/>
        <n v="65.918251304527232"/>
        <n v="91.916543803768249"/>
        <n v="106.34140286786327"/>
        <n v="64.576403949727691"/>
        <n v="56.189857982230585"/>
        <n v="41.094075240735805"/>
        <n v="248.24176063791424"/>
        <n v="42.771384434235223"/>
        <n v="292.9001179148363"/>
        <n v="68.769676933476248"/>
        <n v="75.562779167148889"/>
        <n v="63.737749352977978"/>
        <n v="83.865459674971021"/>
        <n v="427.71384434235222"/>
        <n v="561.89857982230592"/>
        <n v="670.92367739976817"/>
        <n v="70.446986126975659"/>
        <n v="124.12088031895712"/>
        <n v="147.60320902794902"/>
        <n v="16.773091934994206"/>
        <n v="26.836947095990727"/>
        <n v="18.450401128493628"/>
        <n v="117.41164354495943"/>
        <n v="15.095782741494785"/>
        <n v="41.93272983748551"/>
        <n v="105.6704791904635"/>
        <n v="385.78111450486671"/>
        <n v="318.68874676488991"/>
        <n v="7.5478913707473927"/>
        <n v="8.1014034046022019"/>
        <n v="22.180704562790044"/>
        <n v="6.7092367739976817"/>
        <n v="66.253713143227117"/>
        <n v="6.8937407852826187"/>
        <n v="158.38830714215027"/>
        <n v="58.705821772479716"/>
        <n v="75.478913707473922"/>
        <n v="4.8874119492008914"/>
        <n v="11.403961214802081"/>
        <n v="11.271517780316106"/>
        <n v="285.14256289490152"/>
        <n v="3.3210722031288529"/>
        <n v="217.15115742720897"/>
        <n v="135.02339007670335"/>
        <n v="32.582746328005946"/>
        <n v="250.88714672564575"/>
        <n v="381.89982103110907"/>
        <n v="3.2741075457108688"/>
        <n v="48.874119492008916"/>
        <n v="94.950186542589222"/>
        <n v="16.291373164002973"/>
        <n v="8.1456865820014865"/>
        <n v="18.425543048487359"/>
        <n v="6.5165492656011885"/>
        <n v="162.91373164002971"/>
        <n v="293.24471695205347"/>
        <n v="114.03961214802079"/>
        <n v="276.95334378805052"/>
        <n v="73.311179238013366"/>
        <n v="211.78785113203864"/>
        <n v="24.437059746004458"/>
        <n v="14.662235847602675"/>
        <n v="3.3698684387478939"/>
        <n v="23.215206758704234"/>
        <n v="122.18529873002228"/>
        <n v="23.94831855108437"/>
        <n v="171.05941822203121"/>
        <n v="110.7813375152202"/>
        <n v="17.105941822203121"/>
        <n v="2.4437059746004457"/>
        <n v="342.11883644406242"/>
        <n v="81.456865820014855"/>
        <n v="13.033098531202377"/>
        <n v="29.32447169520535"/>
        <n v="40.728432910007427"/>
        <n v="8.3086003136415147"/>
        <n v="13.196012262842407"/>
        <n v="15.965545700722911"/>
        <n v="244.37059746004456"/>
        <n v="181.26853794494306"/>
        <n v="241.11232282724399"/>
        <n v="17.887927734075262"/>
        <n v="65.32840638765191"/>
        <n v="6.9054681121883075"/>
        <n v="34.527340560941539"/>
        <n v="50.06464381336523"/>
        <n v="46.439273054466369"/>
        <n v="0.93929314835967548"/>
        <n v="68.191497607859532"/>
        <n v="24.169138392659075"/>
        <n v="61.286029495671229"/>
        <n v="10.35820216828246"/>
        <n v="77.772834613520814"/>
        <n v="314.19879910456797"/>
        <n v="18.126853794494306"/>
        <n v="12.119096536890479"/>
        <n v="130.55650649606019"/>
        <n v="103.5820216828246"/>
        <n v="115.32131747354472"/>
        <n v="92.705909406128029"/>
        <n v="51.791010841412302"/>
        <n v="12.084569196329538"/>
        <n v="114.80340736513061"/>
        <n v="42.598106417061622"/>
        <n v="31.074606504847381"/>
        <n v="77.68651626211846"/>
        <n v="57.833295439577071"/>
        <n v="345.27340560941536"/>
        <n v="129.47754945610797"/>
        <n v="12.084571282570078"/>
        <n v="233.05958902099437"/>
        <n v="81.139264325827668"/>
        <n v="127.75118213002654"/>
        <n v="151.9203246951667"/>
        <n v="17.263673260814397"/>
        <n v="27.621877217303034"/>
        <n v="18.990040586895837"/>
        <n v="112.21387619529358"/>
        <n v="77.686529673664793"/>
        <n v="51.791019782443193"/>
        <n v="163.02086660187035"/>
        <n v="34.527346521628793"/>
        <n v="43.159183152035993"/>
        <n v="25.895509891221597"/>
        <n v="107.89795788008998"/>
        <n v="863.18366304071981"/>
        <n v="345.27346521628795"/>
        <n v="952.06050572204458"/>
        <n v="664.2871570355511"/>
        <n v="411.11711503303405"/>
        <n v="699.17876706298307"/>
        <n v="794.12896999746226"/>
        <n v="440.22366815076714"/>
        <n v="448.85550478117432"/>
        <n v="18.411707532658554"/>
        <n v="517.91019782443186"/>
        <n v="17.091036528206253"/>
        <n v="226.89300493223146"/>
        <n v="86.318366304071986"/>
        <n v="15.019395736908526"/>
        <n v="172.63673260814397"/>
        <n v="69.054693043257586"/>
        <n v="3.3698690205109703"/>
        <n v="255.50236426005307"/>
        <n v="301.46689431697143"/>
        <n v="293.48244543384476"/>
        <n v="0"/>
        <n v="181.14504369908531"/>
        <n v="12.076336246605688"/>
        <n v="284.6564972414198"/>
        <n v="51.755726771167232"/>
        <n v="77.633590156750856"/>
        <n v="17.251908923722411"/>
        <n v="27.603054277955859"/>
        <n v="7.1940460211922455"/>
        <n v="258.77863385583618"/>
        <n v="2261.725259900008"/>
        <n v="193.22137994569101"/>
        <n v="224.27481600839135"/>
        <n v="120.76336246605688"/>
        <n v="10.351145354233447"/>
        <n v="20.702290708466894"/>
        <n v="124.38971372182333"/>
        <n v="3635.6672865852611"/>
        <n v="41.866932576089546"/>
        <n v="687.82153245256598"/>
        <n v="31.493359740255261"/>
        <n v="97.559544963650239"/>
        <n v="25.877863385583616"/>
        <n v="6.9007635694889649"/>
        <n v="43.129772309306027"/>
        <n v="3.0018321527276997"/>
        <n v="517.55726771167235"/>
        <n v="345.03817847444822"/>
        <n v="129.38931692791809"/>
        <n v="327.78626955072582"/>
        <n v="21.892672424203738"/>
        <n v="34.503817847444822"/>
        <n v="94.885499080473267"/>
        <n v="8.6259544618612054"/>
        <n v="207.02290708466893"/>
        <n v="155.26718031350171"/>
        <n v="36.229008739817061"/>
        <n v="86.259544618612054"/>
        <n v="34.210535395741545"/>
        <n v="53.480917663539472"/>
        <n v="3.4797100299148105"/>
        <n v="10.903206439792564"/>
        <n v="25.256794664329611"/>
        <n v="15.526718031350169"/>
        <n v="20.357252529992444"/>
        <n v="155.43969940273894"/>
        <n v="388.16795078375424"/>
        <n v="16.561832566773514"/>
        <n v="15.354198942112946"/>
        <n v="33.123665133547028"/>
        <n v="241.52672493211375"/>
        <n v="310.53436062700342"/>
        <n v="13.421985142656036"/>
        <n v="10.868702621945118"/>
        <n v="72.458017479634123"/>
        <n v="117.3129806813124"/>
        <n v="174.24428012959635"/>
        <n v="474.42749540236633"/>
        <n v="20.391756347839891"/>
        <n v="24.152672493211377"/>
        <n v="232.90077047025255"/>
        <n v="396.79390524561546"/>
        <n v="951.41172370722825"/>
        <n v="410.83695910952548"/>
        <n v="333.9072468368625"/>
        <n v="5.1755726771167234"/>
        <n v="90.805422620012905"/>
        <n v="31.053436062700339"/>
        <n v="13.80152713897793"/>
        <n v="48.995421343371646"/>
        <n v="130.46756123565072"/>
        <n v="71.595422033448003"/>
        <n v="61.244276679214558"/>
        <n v="15.224809625185028"/>
        <n v="75.304582452048322"/>
        <n v="265.67939742532513"/>
        <n v="862.59544618612051"/>
        <n v="646.94658463959047"/>
        <n v="103.51145354233446"/>
        <n v="80.868323079948809"/>
        <n v="69.007635694889643"/>
        <n v="143.53588224537046"/>
        <n v="85.224430083188707"/>
        <n v="105.2366444347067"/>
        <n v="77.719849701369469"/>
        <n v="51.928245860404459"/>
        <n v="154.92214213502726"/>
        <n v="87.122140064798174"/>
        <n v="91.435117295728773"/>
        <n v="29.138474172167154"/>
        <n v="56.931299448283958"/>
        <n v="439.92367755492148"/>
        <n v="48.305344986422753"/>
        <n v="448.54963201678271"/>
        <n v="151.81679852875723"/>
        <n v="18.977099816094654"/>
        <n v="72.052412983844818"/>
        <n v="162.97569603488711"/>
        <n v="12.00873549730747"/>
        <n v="210.47328886941341"/>
        <n v="360.26206491922409"/>
        <n v="17.155336424724958"/>
        <n v="18.013103245961204"/>
        <n v="488.92708810466127"/>
        <n v="51.466009274174873"/>
        <n v="68.62134569889983"/>
        <n v="299.57506231675956"/>
        <n v="115.02824626142331"/>
        <n v="35.168439670686162"/>
        <n v="42.88834106181239"/>
        <n v="15.439802782252462"/>
        <n v="120.0873549730747"/>
        <n v="20.586403709669948"/>
        <n v="7.4848732821074986"/>
        <n v="21.615723895153447"/>
        <n v="257.33004637087436"/>
        <n v="343.10672849449912"/>
        <n v="54.039309737883613"/>
        <n v="154.39802782252463"/>
        <n v="61.759211129009849"/>
        <n v="85.776682123624781"/>
        <n v="13.724269139779965"/>
        <n v="3.4310672849449912"/>
        <n v="6.8621345698899825"/>
        <n v="137.24269139779966"/>
        <n v="8.8006875858839031"/>
        <n v="25.733004637087436"/>
        <n v="77.199013911262313"/>
        <n v="8.5776682123624788"/>
        <n v="25.235499880770412"/>
        <n v="10.293201854834974"/>
        <n v="231.59704173378694"/>
        <n v="5.1466009274174871"/>
        <n v="24.686529115179212"/>
        <n v="34.310672849449915"/>
        <n v="632.51725397960922"/>
        <n v="183.95667248232573"/>
        <n v="177.54743879404847"/>
        <n v="111.81676728271479"/>
        <n v="440.07726763525699"/>
        <n v="218.83347143379154"/>
        <n v="18.870870067197455"/>
        <n v="43.746107883048644"/>
        <n v="10.20742517271135"/>
        <n v="94.354350335987263"/>
        <n v="12.866502318543718"/>
        <n v="58.842803936806604"/>
        <n v="180.13103245961204"/>
        <n v="95.212117157223517"/>
        <n v="437.46107883048643"/>
        <n v="514.66009274174871"/>
        <n v="64.761395003336716"/>
        <n v="53.610426327265493"/>
        <n v="83.031828295668788"/>
        <n v="40.486593962350902"/>
        <n v="5.5806309389630284"/>
        <n v="2249.0646052814418"/>
        <n v="394.57273776867402"/>
        <n v="946.08592421801688"/>
        <n v="18.296166296969169"/>
        <n v="857.76682123624789"/>
        <n v="129.7372317119825"/>
        <n v="71.880859619597572"/>
        <n v="247.03684451603939"/>
        <n v="46.319408346757385"/>
        <n v="102.07425172711349"/>
        <n v="777.80236709331984"/>
        <n v="96.069883978459757"/>
        <n v="36.369313220416906"/>
        <n v="69.479112520136084"/>
        <n v="77.284790593385935"/>
        <n v="342.07740830901565"/>
        <n v="123.68997562226694"/>
        <n v="80.286974467712795"/>
        <n v="754.8348026878981"/>
        <n v="411.72807419339898"/>
        <n v="213.92367065415789"/>
        <n v="343.10696393911502"/>
        <n v="36.026231213607076"/>
        <n v="27.448557115129201"/>
        <n v="8.5776740984778748"/>
        <n v="51.466044590867249"/>
        <n v="5.5325997935182292"/>
        <n v="17.15534819695575"/>
        <n v="44.603905312084947"/>
        <n v="8.5090527056900527"/>
        <n v="514.6604459086725"/>
        <n v="299.57526788933978"/>
        <n v="77.199066886300869"/>
        <n v="10.29320891817345"/>
        <n v="48.034974951476102"/>
        <n v="128.66511147716813"/>
        <n v="446.03905312084947"/>
        <n v="81.316350453570251"/>
        <n v="12.008743737869025"/>
        <n v="6.8621392787823003"/>
        <n v="257.33022295433625"/>
        <n v="5.6097988604045304"/>
        <n v="117.92071690141474"/>
        <n v="34.310696393911499"/>
        <n v="20.5864178363469"/>
        <n v="42.888370492389377"/>
        <n v="857.76740984778746"/>
        <n v="56.612649049953973"/>
        <n v="360.26231213607076"/>
        <n v="25.733022295433624"/>
        <n v="137.242785575646"/>
        <n v="102.9320891817345"/>
        <n v="41.121369628102933"/>
        <n v="72.052462427214152"/>
        <n v="15.439813377260174"/>
        <n v="17.827139780891613"/>
        <n v="51.698705364585685"/>
        <n v="89.135698904458081"/>
        <n v="14.261711824713291"/>
        <n v="53.481419342674847"/>
        <n v="12.47899784662413"/>
        <n v="142.61711824713291"/>
        <n v="41.002421496050715"/>
        <n v="35.654279561783227"/>
        <n v="7.1308559123566457"/>
        <n v="58.829561276942329"/>
        <n v="26.740709671337424"/>
        <n v="5.3481419342674847"/>
        <n v="48.133277408407359"/>
        <n v="16.044425802802454"/>
        <n v="231.75281715159099"/>
        <n v="77.548058046878523"/>
        <n v="76.585392498710377"/>
        <n v="8.4678913959235178"/>
        <n v="8.9135698904458067"/>
        <n v="267.40709671337424"/>
        <n v="2337.1380252748909"/>
        <n v="410.02421496050715"/>
        <n v="356.54279561783233"/>
        <n v="983.13467006456699"/>
        <n v="160.03958195499828"/>
        <n v="534.81419342674849"/>
        <n v="169.17955652066144"/>
        <n v="106.96283868534969"/>
        <n v="21.392567737069939"/>
        <n v="6.7743131167388135"/>
        <n v="2.4957995693248263"/>
        <n v="23.175281715159098"/>
        <n v="178.27139780891616"/>
        <n v="4.6796241924840487"/>
        <n v="561.5549030980859"/>
        <n v="114.27196599551526"/>
        <n v="133.70354835668712"/>
        <n v="24.957995693248261"/>
        <n v="44.567849452229041"/>
        <n v="44.924392247846868"/>
        <n v="27.036640191700222"/>
        <n v="35.26743062853788"/>
        <n v="30.78390497364364"/>
        <n v="285.23423649426582"/>
        <n v="134.81774459299285"/>
        <n v="240.6663870420368"/>
        <n v="86.461627937324337"/>
        <n v="6.6851774178343559"/>
        <n v="51.163891171158937"/>
        <n v="436.76492463184456"/>
        <n v="101.61469675108221"/>
        <n v="37.43699353987239"/>
        <n v="38.328350528916971"/>
        <n v="28.523423649426583"/>
        <n v="68.634488156432724"/>
        <n v="80.311264712916724"/>
        <n v="19.96639655459861"/>
        <n v="46.350563430318196"/>
        <n v="25.136267091057178"/>
        <n v="131.92083437859796"/>
        <n v="222.83924726114518"/>
        <n v="47.063649021553864"/>
        <n v="32.088851605604908"/>
        <n v="104.11049632040704"/>
        <n v="19.609853758980776"/>
        <n v="177.38004081987157"/>
        <n v="55.26413332076401"/>
        <n v="72.199916112611035"/>
        <n v="82.00484299210143"/>
        <n v="124.78997846624131"/>
        <n v="10.696283868534969"/>
        <n v="276.67720939943786"/>
        <n v="49.915991386496522"/>
        <n v="10.116901825655992"/>
        <n v="80.222129014012268"/>
        <n v="2.6740709671337424"/>
        <n v="64.6233817057321"/>
        <n v="288.79966445044414"/>
        <n v="311.30642842381985"/>
        <n v="197.88125156789692"/>
        <n v="141.72576125808834"/>
        <n v="27.632066660382005"/>
        <n v="71.308559123566454"/>
        <n v="463.50563430318198"/>
        <n v="401.11064507006137"/>
        <n v="9.8940625783948466"/>
        <n v="1.5598747308280163"/>
        <n v="891.3569890445807"/>
        <n v="111.41962363057259"/>
        <n v="347.62922572738648"/>
        <n v="980.49268794903878"/>
        <n v="632.8634622216523"/>
        <n v="39.219707517961552"/>
        <n v="40.111064507006134"/>
        <n v="17.114054189655949"/>
        <n v="226.52946519578975"/>
        <n v="392.71941037519565"/>
        <n v="454.59206441273619"/>
        <n v="2.8523423649426585"/>
        <n v="748.73987079744779"/>
        <n v="61.503632244076073"/>
        <n v="235.31824510776931"/>
        <n v="57.225118696662086"/>
        <n v="15.153068813757873"/>
        <n v="90.027055893502663"/>
        <n v="146.18254620331123"/>
        <n v="311.97494616560328"/>
        <n v="22.28392472611452"/>
        <n v="110.17172384591018"/>
        <n v="3.5654279561783229"/>
        <n v="69.525845145477305"/>
        <n v="87.352984926368919"/>
        <n v="81.470028798674676"/>
        <n v="94.483840838725555"/>
        <n v="1.7827139780891614"/>
        <n v="-106.96283868534969"/>
        <n v="748.72982664471135"/>
        <n v="477.31526448600351"/>
        <n v="430.51965032070905"/>
        <n v="374.36491332235568"/>
        <n v="1032.2775556441968"/>
        <n v="561.54736998353349"/>
        <n v="445.75630229292892"/>
        <n v="1472.3772040968249"/>
        <n v="981.58480273121666"/>
        <n v="19.963009002914617"/>
        <n v="1.8718245666117783"/>
        <n v="690.1417177097627"/>
        <n v="332.78981787334146"/>
        <n v="222.39896405741183"/>
        <n v="193.72261169691939"/>
        <n v="232.91674629720342"/>
        <n v="276.90896221658943"/>
        <n v="9.3591228330588923"/>
        <n v="3.7436491332235566"/>
        <n v="2.8077368499176676"/>
        <n v="58.494517706618076"/>
        <n v="5.6154736998353352"/>
        <n v="13.102771966282448"/>
        <n v="1.8595856619994786"/>
        <n v="0.92979283099973931"/>
        <n v="37.191713239989575"/>
        <n v="1.3017099633996352"/>
        <n v="13.017099633996351"/>
        <n v="132.54010847335084"/>
        <n v="55.787569859984359"/>
        <n v="427.70470225988009"/>
        <n v="371.91713239989576"/>
        <n v="1929.1546212005412"/>
        <n v="557.87569859984364"/>
        <n v="442.84172954855586"/>
        <n v="131.971075260779"/>
        <n v="19.83248108522444"/>
        <n v="11.157513971996872"/>
        <n v="140.63116568871058"/>
        <n v="23.244820774993485"/>
        <n v="122.7326536919656"/>
        <n v="213.85235112994005"/>
        <n v="46.48964154998697"/>
        <n v="83.774334073076517"/>
        <n v="688.04669493980714"/>
        <n v="418.40677394988268"/>
        <n v="9.2979283099973937"/>
        <n v="1.7827155035636482"/>
        <n v="891.35775178182416"/>
        <n v="284.65866346253267"/>
        <n v="311.30669480980208"/>
        <n v="8.9135775178182417"/>
        <n v="463.50603092654853"/>
        <n v="2.6740732553454722"/>
        <n v="3.5654310071272963"/>
        <n v="4.4567887589091209"/>
        <n v="65.960473631854981"/>
        <n v="0.89135775178182408"/>
        <n v="338.71594567709315"/>
        <n v="44.567887589091207"/>
        <n v="320.88879064145669"/>
        <n v="356.54310071272965"/>
        <n v="2337.1400251719429"/>
        <n v="534.81465106909445"/>
        <n v="26.740732553454723"/>
        <n v="17.827155035636483"/>
        <n v="21.392586042763778"/>
        <n v="58.722648687386574"/>
        <n v="14.261724028509185"/>
        <n v="18.718512787418305"/>
        <n v="19.609870539200131"/>
        <n v="20.857771391694683"/>
        <n v="6.239504262472769"/>
        <n v="4.9024676348000327"/>
        <n v="3.3871594567709318"/>
        <n v="6.596047363185499"/>
        <n v="89.135775178182413"/>
        <n v="7.1308620142545927"/>
        <n v="0.53481465106909443"/>
        <n v="35.654310071272967"/>
        <n v="16.044439532072836"/>
        <n v="5.6690353013324017"/>
        <n v="13.370366276727362"/>
        <n v="5.3481465106909445"/>
        <n v="53.481465106909447"/>
        <n v="12.479008524945538"/>
        <n v="56.850797408644745"/>
        <n v="122.11601199410991"/>
        <n v="267.40732553454723"/>
        <n v="187.18512787418308"/>
        <n v="133.70366276727361"/>
        <n v="2.4958017049891077"/>
        <n v="23.148560813773972"/>
        <n v="240.66659298109252"/>
        <n v="623.95042624727694"/>
        <n v="41.448135457854825"/>
        <n v="62.395042624727687"/>
        <n v="461.3667723222722"/>
        <n v="407.88530721536273"/>
        <n v="696.73335211126994"/>
        <n v="584.73068516887668"/>
        <n v="475.87807652128026"/>
        <n v="19.012660845506307"/>
        <n v="285.23448057018373"/>
        <n v="10.696293021381889"/>
        <n v="6.9525904638982281"/>
        <n v="134.81785995700091"/>
        <n v="17.862809345707756"/>
        <n v="149.74810229934644"/>
        <n v="178.27155035636483"/>
        <n v="71.308620142545934"/>
        <n v="80.311333435542352"/>
        <n v="14.707402904400098"/>
        <n v="44.924430689803934"/>
        <n v="395.9357651949756"/>
        <n v="454.59245340873031"/>
        <n v="160.44439532072835"/>
        <n v="1.8744037053212446"/>
        <n v="23.430046316515558"/>
        <n v="224.92844463854934"/>
        <n v="18.744037053212445"/>
        <n v="0.93720185266062228"/>
        <n v="281.16055579818669"/>
        <n v="16.686217113355749"/>
        <n v="106.96293021381889"/>
        <n v="213.92586042763779"/>
        <n v="427.85172085527557"/>
        <n v="202.33820965447407"/>
        <n v="14.172588253331003"/>
        <n v="802.22197660364168"/>
        <n v="668.51831383636807"/>
        <n v="581.06514864958581"/>
        <n v="112.46422231927467"/>
        <n v="4.6860092633031112"/>
        <n v="1.1246422231927466"/>
        <n v="11.246422231927466"/>
        <n v="3.7488074106424891"/>
        <n v="1.3120825937248712"/>
        <n v="27.722430801701208"/>
        <n v="168.69633347891201"/>
        <n v="5.6232111159637332"/>
        <n v="2.8116055579818666"/>
        <n v="28.116055579818667"/>
        <n v="327.31774704172233"/>
        <n v="93.720185266062231"/>
        <n v="45.735450409838364"/>
        <n v="9.3720185266062224"/>
        <n v="51.546101896334221"/>
        <n v="14.058027789909334"/>
        <n v="22.492844463854933"/>
        <n v="58.575115791288894"/>
        <n v="56.232111159637334"/>
        <n v="13.120825937248712"/>
        <n v="14.732813123824982"/>
        <n v="19.681238905873066"/>
        <n v="13.49570667831296"/>
        <n v="506.089000436736"/>
        <n v="69.352937096886052"/>
        <n v="103.59829279310519"/>
        <n v="759.13350065510406"/>
        <n v="6.5604129686243562"/>
        <n v="6.7478533391564799"/>
        <n v="7.4976148212849782"/>
        <n v="65.604129686243553"/>
        <n v="4.2698916407217951"/>
        <n v="21.555642611194312"/>
        <n v="46.860092633031115"/>
        <n v="35.613670401103647"/>
        <n v="5.248330374899485"/>
        <n v="16.869633347891202"/>
        <n v="22.283943794545603"/>
        <n v="27.854929743182005"/>
        <n v="217.62321238202881"/>
        <n v="695.25904638982286"/>
      </sharedItems>
    </cacheField>
    <cacheField name="Exchange Rate $" numFmtId="0">
      <sharedItems containsSemiMixedTypes="0" containsString="0" containsNumber="1" minValue="532.90192592592598" maxValue="613.82180000000005"/>
    </cacheField>
    <cacheField name="Name" numFmtId="0">
      <sharedItems/>
    </cacheField>
    <cacheField name="Receipt" numFmtId="0">
      <sharedItems/>
    </cacheField>
    <cacheField name="Project" numFmtId="0">
      <sharedItems/>
    </cacheField>
    <cacheField name="Donor" numFmtId="0">
      <sharedItems count="8">
        <s v="Wildcat 2024"/>
        <s v="OAK"/>
        <s v="Rufford"/>
        <s v="OAT"/>
        <s v="UE"/>
        <s v="Wildcat 2025"/>
        <s v="ELONGA"/>
        <s v="Dahan"/>
      </sharedItems>
    </cacheField>
    <cacheField name="Country" numFmtId="0">
      <sharedItems/>
    </cacheField>
    <cacheField name="Receved in XAF" numFmtId="0">
      <sharedItems containsString="0" containsBlank="1" containsNumber="1" containsInteger="1" minValue="266752" maxValue="17885797" count="13">
        <m/>
        <n v="17885797"/>
        <n v="17389380"/>
        <n v="2898230"/>
        <n v="17487258"/>
        <n v="14023562"/>
        <n v="5342381"/>
        <n v="5377542"/>
        <n v="2664510"/>
        <n v="14388352"/>
        <n v="266752"/>
        <n v="2934267"/>
        <n v="3201019"/>
      </sharedItems>
    </cacheField>
    <cacheField name="Receved  $" numFmtId="0">
      <sharedItems containsString="0" containsBlank="1" containsNumber="1" containsInteger="1" minValue="500" maxValue="30000" count="9">
        <m/>
        <n v="30000"/>
        <n v="5000"/>
        <n v="25000"/>
        <n v="10000"/>
        <n v="27000"/>
        <n v="500"/>
        <n v="5500"/>
        <n v="6000"/>
      </sharedItems>
    </cacheField>
    <cacheField name="Comments" numFmtId="0">
      <sharedItems containsNonDate="0" containsString="0" containsBlank="1"/>
    </cacheField>
    <cacheField name="Mois" numFmtId="0" databaseField="0">
      <fieldGroup base="0">
        <rangePr groupBy="months" startDate="2025-01-02T00:00:00" endDate="2025-10-01T00:00:00"/>
        <groupItems count="14">
          <s v="&lt;02/01/2025"/>
          <s v="janv"/>
          <s v="févr"/>
          <s v="mars"/>
          <s v="avr"/>
          <s v="mai"/>
          <s v="juin"/>
          <s v="juil"/>
          <s v="août"/>
          <s v="sept"/>
          <s v="oct"/>
          <s v="nov"/>
          <s v="déc"/>
          <s v="&gt;01/10/2025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User" refreshedDate="45946.404294675929" createdVersion="7" refreshedVersion="7" minRefreshableVersion="3" recordCount="709">
  <cacheSource type="worksheet">
    <worksheetSource ref="A1:O710" sheet="DATA "/>
  </cacheSource>
  <cacheFields count="15">
    <cacheField name="Date" numFmtId="14">
      <sharedItems containsSemiMixedTypes="0" containsNonDate="0" containsDate="1" containsString="0" minDate="2025-09-01T00:00:00" maxDate="2025-10-01T00:00:00"/>
    </cacheField>
    <cacheField name="Details" numFmtId="0">
      <sharedItems/>
    </cacheField>
    <cacheField name="Type of expenses" numFmtId="0">
      <sharedItems count="17">
        <s v="Transport"/>
        <s v="Telephone"/>
        <s v="Travel subsistence"/>
        <s v="Transfert fees"/>
        <s v="Transport "/>
        <s v="Lawyer Fees"/>
        <s v="Personnel"/>
        <s v="Investigation materials"/>
        <s v="Services"/>
        <s v="Rent &amp; Utilities"/>
        <s v="Bonus to media officer"/>
        <s v="Trust building"/>
        <s v="Office Materiels"/>
        <s v="Bonus"/>
        <s v="Grant"/>
        <s v="Internet"/>
        <s v="Versement" u="1"/>
      </sharedItems>
    </cacheField>
    <cacheField name="Department " numFmtId="0">
      <sharedItems containsBlank="1" count="7">
        <s v="Management"/>
        <s v="Legal"/>
        <s v="Office"/>
        <s v="Investigation"/>
        <s v="Media"/>
        <s v="Operation"/>
        <m/>
      </sharedItems>
    </cacheField>
    <cacheField name="Spent  in XAF" numFmtId="0">
      <sharedItems containsString="0" containsBlank="1" containsNumber="1" containsInteger="1" minValue="500" maxValue="500000"/>
    </cacheField>
    <cacheField name="Spent in $" numFmtId="1">
      <sharedItems containsString="0" containsBlank="1" containsNumber="1" minValue="0" maxValue="891.35775178182416"/>
    </cacheField>
    <cacheField name="Exchange Rate $" numFmtId="173">
      <sharedItems containsSemiMixedTypes="0" containsString="0" containsNumber="1" minValue="533.50300000000004" maxValue="560.94200000000001"/>
    </cacheField>
    <cacheField name="Name" numFmtId="0">
      <sharedItems count="14">
        <s v="DOVI"/>
        <s v="Crepin"/>
        <s v="Parfaite"/>
        <s v="P29"/>
        <s v="T73"/>
        <s v="IT87"/>
        <s v="G12"/>
        <s v="Abraham"/>
        <s v="Roderlin"/>
        <s v="Donald-Romeo"/>
        <s v="Evariste"/>
        <s v="Romain"/>
        <s v="BCI"/>
        <s v="Crépin" u="1"/>
      </sharedItems>
    </cacheField>
    <cacheField name="Receipt" numFmtId="0">
      <sharedItems/>
    </cacheField>
    <cacheField name="Project" numFmtId="0">
      <sharedItems/>
    </cacheField>
    <cacheField name="Donor" numFmtId="0">
      <sharedItems/>
    </cacheField>
    <cacheField name="Country" numFmtId="0">
      <sharedItems/>
    </cacheField>
    <cacheField name="Received in XAF" numFmtId="0">
      <sharedItems containsString="0" containsBlank="1" containsNumber="1" containsInteger="1" minValue="266752" maxValue="3201019"/>
    </cacheField>
    <cacheField name="Received in $" numFmtId="0">
      <sharedItems containsString="0" containsBlank="1" containsNumber="1" containsInteger="1" minValue="500" maxValue="6000"/>
    </cacheField>
    <cacheField name="Comment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2">
  <r>
    <d v="2025-09-01T00:00:00"/>
    <n v="220000"/>
    <m/>
    <n v="220000"/>
    <x v="0"/>
  </r>
  <r>
    <d v="2025-09-01T00:00:00"/>
    <m/>
    <n v="12500"/>
    <n v="207500"/>
    <x v="1"/>
  </r>
  <r>
    <d v="2025-09-01T00:00:00"/>
    <m/>
    <n v="7500"/>
    <n v="200000"/>
    <x v="2"/>
  </r>
  <r>
    <d v="2025-09-01T00:00:00"/>
    <m/>
    <n v="10000"/>
    <n v="190000"/>
    <x v="3"/>
  </r>
  <r>
    <d v="2025-09-01T00:00:00"/>
    <m/>
    <n v="10000"/>
    <n v="180000"/>
    <x v="4"/>
  </r>
  <r>
    <d v="2025-09-01T00:00:00"/>
    <m/>
    <n v="7500"/>
    <n v="172500"/>
    <x v="5"/>
  </r>
  <r>
    <d v="2025-09-01T00:00:00"/>
    <m/>
    <n v="7500"/>
    <n v="165000"/>
    <x v="6"/>
  </r>
  <r>
    <d v="2025-09-01T00:00:00"/>
    <m/>
    <n v="7500"/>
    <n v="157500"/>
    <x v="7"/>
  </r>
  <r>
    <d v="2025-09-01T00:00:00"/>
    <m/>
    <n v="10000"/>
    <n v="147500"/>
    <x v="8"/>
  </r>
  <r>
    <d v="2025-09-01T00:00:00"/>
    <m/>
    <n v="10000"/>
    <n v="137500"/>
    <x v="9"/>
  </r>
  <r>
    <d v="2025-09-01T00:00:00"/>
    <m/>
    <n v="10000"/>
    <n v="127500"/>
    <x v="10"/>
  </r>
  <r>
    <d v="2025-09-01T00:00:00"/>
    <m/>
    <n v="10000"/>
    <n v="117500"/>
    <x v="11"/>
  </r>
  <r>
    <d v="2025-09-01T00:00:00"/>
    <m/>
    <n v="10000"/>
    <n v="107500"/>
    <x v="12"/>
  </r>
  <r>
    <d v="2025-09-08T00:00:00"/>
    <n v="5000"/>
    <m/>
    <n v="112500"/>
    <x v="0"/>
  </r>
  <r>
    <d v="2025-09-08T00:00:00"/>
    <m/>
    <n v="12500"/>
    <n v="100000"/>
    <x v="1"/>
  </r>
  <r>
    <d v="2025-09-08T00:00:00"/>
    <m/>
    <n v="7500"/>
    <n v="92500"/>
    <x v="2"/>
  </r>
  <r>
    <d v="2025-09-08T00:00:00"/>
    <m/>
    <n v="10000"/>
    <n v="82500"/>
    <x v="3"/>
  </r>
  <r>
    <d v="2025-09-08T00:00:00"/>
    <m/>
    <n v="10000"/>
    <n v="72500"/>
    <x v="4"/>
  </r>
  <r>
    <d v="2025-09-08T00:00:00"/>
    <m/>
    <n v="7500"/>
    <n v="65000"/>
    <x v="5"/>
  </r>
  <r>
    <d v="2025-09-08T00:00:00"/>
    <m/>
    <n v="7500"/>
    <n v="57500"/>
    <x v="6"/>
  </r>
  <r>
    <d v="2025-09-08T00:00:00"/>
    <m/>
    <n v="7500"/>
    <n v="50000"/>
    <x v="7"/>
  </r>
  <r>
    <d v="2025-09-08T00:00:00"/>
    <m/>
    <n v="10000"/>
    <n v="40000"/>
    <x v="8"/>
  </r>
  <r>
    <d v="2025-09-08T00:00:00"/>
    <m/>
    <n v="10000"/>
    <n v="30000"/>
    <x v="9"/>
  </r>
  <r>
    <d v="2025-09-08T00:00:00"/>
    <m/>
    <n v="10000"/>
    <n v="20000"/>
    <x v="10"/>
  </r>
  <r>
    <d v="2025-09-08T00:00:00"/>
    <m/>
    <n v="10000"/>
    <n v="10000"/>
    <x v="11"/>
  </r>
  <r>
    <d v="2025-09-08T00:00:00"/>
    <m/>
    <n v="10000"/>
    <n v="0"/>
    <x v="12"/>
  </r>
  <r>
    <d v="2025-09-17T00:00:00"/>
    <n v="112500"/>
    <m/>
    <n v="112500"/>
    <x v="0"/>
  </r>
  <r>
    <d v="2025-09-17T00:00:00"/>
    <m/>
    <n v="12500"/>
    <n v="100000"/>
    <x v="1"/>
  </r>
  <r>
    <d v="2025-09-17T00:00:00"/>
    <m/>
    <n v="7500"/>
    <n v="92500"/>
    <x v="2"/>
  </r>
  <r>
    <d v="2025-09-17T00:00:00"/>
    <m/>
    <n v="10000"/>
    <n v="82500"/>
    <x v="3"/>
  </r>
  <r>
    <d v="2025-09-17T00:00:00"/>
    <m/>
    <n v="10000"/>
    <n v="72500"/>
    <x v="4"/>
  </r>
  <r>
    <d v="2025-09-17T00:00:00"/>
    <m/>
    <n v="7500"/>
    <n v="65000"/>
    <x v="5"/>
  </r>
  <r>
    <d v="2025-09-17T00:00:00"/>
    <m/>
    <n v="7500"/>
    <n v="57500"/>
    <x v="6"/>
  </r>
  <r>
    <d v="2025-09-17T00:00:00"/>
    <m/>
    <n v="7500"/>
    <n v="50000"/>
    <x v="7"/>
  </r>
  <r>
    <d v="2025-09-17T00:00:00"/>
    <m/>
    <n v="10000"/>
    <n v="40000"/>
    <x v="8"/>
  </r>
  <r>
    <d v="2025-09-17T00:00:00"/>
    <m/>
    <n v="10000"/>
    <n v="30000"/>
    <x v="9"/>
  </r>
  <r>
    <d v="2025-09-17T00:00:00"/>
    <m/>
    <n v="10000"/>
    <n v="20000"/>
    <x v="10"/>
  </r>
  <r>
    <d v="2025-09-17T00:00:00"/>
    <m/>
    <n v="10000"/>
    <n v="10000"/>
    <x v="11"/>
  </r>
  <r>
    <d v="2025-09-17T00:00:00"/>
    <m/>
    <n v="10000"/>
    <n v="0"/>
    <x v="12"/>
  </r>
  <r>
    <d v="2025-09-29T00:00:00"/>
    <n v="112500"/>
    <m/>
    <n v="112500"/>
    <x v="0"/>
  </r>
  <r>
    <d v="2025-09-29T00:00:00"/>
    <m/>
    <n v="12500"/>
    <n v="100000"/>
    <x v="1"/>
  </r>
  <r>
    <d v="2025-09-29T00:00:00"/>
    <m/>
    <n v="7500"/>
    <n v="92500"/>
    <x v="2"/>
  </r>
  <r>
    <d v="2025-09-29T00:00:00"/>
    <m/>
    <n v="10000"/>
    <n v="82500"/>
    <x v="3"/>
  </r>
  <r>
    <d v="2025-09-29T00:00:00"/>
    <m/>
    <n v="10000"/>
    <n v="72500"/>
    <x v="4"/>
  </r>
  <r>
    <d v="2025-09-29T00:00:00"/>
    <m/>
    <n v="7500"/>
    <n v="65000"/>
    <x v="5"/>
  </r>
  <r>
    <d v="2025-09-29T00:00:00"/>
    <m/>
    <n v="7500"/>
    <n v="57500"/>
    <x v="6"/>
  </r>
  <r>
    <d v="2025-09-29T00:00:00"/>
    <m/>
    <n v="7500"/>
    <n v="50000"/>
    <x v="7"/>
  </r>
  <r>
    <d v="2025-09-29T00:00:00"/>
    <m/>
    <n v="10000"/>
    <n v="40000"/>
    <x v="8"/>
  </r>
  <r>
    <d v="2025-09-29T00:00:00"/>
    <m/>
    <n v="10000"/>
    <n v="30000"/>
    <x v="9"/>
  </r>
  <r>
    <d v="2025-09-29T00:00:00"/>
    <m/>
    <n v="10000"/>
    <n v="20000"/>
    <x v="10"/>
  </r>
  <r>
    <d v="2025-09-29T00:00:00"/>
    <m/>
    <n v="10000"/>
    <n v="10000"/>
    <x v="11"/>
  </r>
  <r>
    <d v="2025-09-29T00:00:00"/>
    <m/>
    <n v="10000"/>
    <n v="0"/>
    <x v="1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07">
  <r>
    <d v="2025-09-01T00:00:00"/>
    <s v="Report au 01/09/2025"/>
    <m/>
    <m/>
    <m/>
    <m/>
    <n v="56980"/>
    <x v="0"/>
    <m/>
    <m/>
  </r>
  <r>
    <d v="2025-09-01T00:00:00"/>
    <s v="BCI3654428"/>
    <s v="Versement"/>
    <m/>
    <m/>
    <n v="2000000"/>
    <n v="2056980"/>
    <x v="1"/>
    <s v="CA-S-V2"/>
    <m/>
  </r>
  <r>
    <d v="2025-09-01T00:00:00"/>
    <s v="Achat credit  teléphonique MTN/PALF/DU 01 au 07/09/2025 "/>
    <s v="Telephone"/>
    <s v="Office"/>
    <n v="220000"/>
    <m/>
    <n v="1836980"/>
    <x v="2"/>
    <s v="Oui"/>
    <m/>
  </r>
  <r>
    <d v="2025-09-01T00:00:00"/>
    <s v="Roderlin"/>
    <s v="Versement"/>
    <m/>
    <n v="150000"/>
    <m/>
    <n v="1686980"/>
    <x v="3"/>
    <s v="CA-S-V3"/>
    <m/>
  </r>
  <r>
    <d v="2025-09-01T00:00:00"/>
    <s v="Ration et frais d'hotel mission maitre Alain à Impfondo du 01 au 07/09/2025"/>
    <s v="Travel Subsistence"/>
    <s v="Legal"/>
    <n v="150000"/>
    <m/>
    <n v="1536980"/>
    <x v="4"/>
    <s v="CA-S-R1"/>
    <m/>
  </r>
  <r>
    <d v="2025-09-01T00:00:00"/>
    <s v="Frais de transport mission Maitre Alain à Impfondo du 01 au 07/09/2025"/>
    <s v="Transport"/>
    <s v="Legal"/>
    <n v="12000"/>
    <m/>
    <n v="1524980"/>
    <x v="4"/>
    <s v="CA-S-R2"/>
    <m/>
  </r>
  <r>
    <d v="2025-09-01T00:00:00"/>
    <s v="Frais de tansfert d'argent à Roderlin et Mr Alain"/>
    <s v="Transfert fees"/>
    <s v="Office"/>
    <n v="9360"/>
    <m/>
    <n v="1515620"/>
    <x v="4"/>
    <s v="CA-S-R3"/>
    <m/>
  </r>
  <r>
    <d v="2025-09-02T00:00:00"/>
    <s v="Donald-Roméo"/>
    <s v="Versement"/>
    <m/>
    <n v="140000"/>
    <m/>
    <n v="1375620"/>
    <x v="5"/>
    <s v="CA-S-V4"/>
    <m/>
  </r>
  <r>
    <d v="2025-09-02T00:00:00"/>
    <s v="Crepin"/>
    <s v="Versement"/>
    <m/>
    <n v="125000"/>
    <m/>
    <n v="1250620"/>
    <x v="6"/>
    <s v="CA-S-V5"/>
    <m/>
  </r>
  <r>
    <d v="2025-09-02T00:00:00"/>
    <s v="Frais de tansfert d'argent à Donald-Roméo et Crepin"/>
    <s v="Transfert fees"/>
    <s v="Office"/>
    <n v="7950"/>
    <m/>
    <n v="1242670"/>
    <x v="7"/>
    <s v="CA-S-R4"/>
    <m/>
  </r>
  <r>
    <d v="2025-09-02T00:00:00"/>
    <s v="Frais de notification affaire de merveille/ Maître OKEMBA NGABOMBA"/>
    <s v="Lawyer Fees"/>
    <s v="Legal"/>
    <n v="113500"/>
    <m/>
    <n v="1129170"/>
    <x v="4"/>
    <s v="CA-S-R5"/>
    <m/>
  </r>
  <r>
    <d v="2025-09-02T00:00:00"/>
    <s v="P29"/>
    <s v="Versement"/>
    <m/>
    <m/>
    <n v="30000"/>
    <n v="1159170"/>
    <x v="8"/>
    <s v="CA-S-V6"/>
    <m/>
  </r>
  <r>
    <d v="2025-09-03T00:00:00"/>
    <s v="T73"/>
    <s v="Versement"/>
    <m/>
    <m/>
    <n v="50000"/>
    <n v="1209170"/>
    <x v="9"/>
    <s v="CA-S-V7"/>
    <m/>
  </r>
  <r>
    <d v="2025-09-03T00:00:00"/>
    <s v="P29"/>
    <s v="Versement"/>
    <m/>
    <n v="100000"/>
    <m/>
    <n v="1109170"/>
    <x v="8"/>
    <s v="CA-S-V8"/>
    <m/>
  </r>
  <r>
    <d v="2025-09-03T00:00:00"/>
    <s v="IT87"/>
    <s v="Versement"/>
    <m/>
    <n v="100000"/>
    <m/>
    <n v="1009170"/>
    <x v="10"/>
    <s v="CA-S-V9"/>
    <m/>
  </r>
  <r>
    <d v="2025-09-03T00:00:00"/>
    <s v="T73"/>
    <s v="Versement"/>
    <m/>
    <n v="100000"/>
    <m/>
    <n v="909170"/>
    <x v="9"/>
    <s v="CA-S-V10"/>
    <m/>
  </r>
  <r>
    <d v="2025-09-03T00:00:00"/>
    <s v="Achat carte Sim MTN /T73"/>
    <s v="Investigation materials"/>
    <s v="Investigation"/>
    <n v="10000"/>
    <m/>
    <n v="899170"/>
    <x v="9"/>
    <s v="CA-S-R6"/>
    <m/>
  </r>
  <r>
    <d v="2025-09-04T00:00:00"/>
    <s v="Bonus media portant sur l'interpelation d'une trafiquante de produit de faune le 25 août 2025 à Impfondo  pièces presse Internet (https://www.panoramik-actu.com)"/>
    <s v="Bonus to media officer"/>
    <s v="Media"/>
    <n v="6000"/>
    <m/>
    <n v="893170"/>
    <x v="11"/>
    <s v="CA-S-D1"/>
    <m/>
  </r>
  <r>
    <d v="2025-09-04T00:00:00"/>
    <s v="Bonus media portant sur l'interpelation d'une trafiquante de produit de faune le 25 août 2025 à Impfondo pièces presse Internet (https://www.tribune-eco.cg)"/>
    <s v="Bonus to media officer"/>
    <s v="Media"/>
    <n v="6000"/>
    <m/>
    <n v="887170"/>
    <x v="11"/>
    <s v="CA-S-D1"/>
    <m/>
  </r>
  <r>
    <d v="2025-09-04T00:00:00"/>
    <s v="Bonus media portant sur l'interpelation d'une trafiquante de produit de faune le 25 août 2025 à Impfondo pièces presse Internet (https://www.groupecongomedias.com)"/>
    <s v="Bonus to media officer"/>
    <s v="Media"/>
    <n v="6000"/>
    <m/>
    <n v="881170"/>
    <x v="11"/>
    <s v="CA-S-D1"/>
    <m/>
  </r>
  <r>
    <d v="2025-09-04T00:00:00"/>
    <s v="Bonus media portant sur l'interpelation d'une trafiquante de produit de faune le 25 août 2025 à Impfondo pièces presse Internet (https://www.labreveonline.com)"/>
    <s v="Bonus to media officer"/>
    <s v="Media"/>
    <n v="6000"/>
    <m/>
    <n v="875170"/>
    <x v="11"/>
    <s v="CA-S-D1"/>
    <m/>
  </r>
  <r>
    <d v="2025-09-04T00:00:00"/>
    <s v="Bonus media portant sur l'interpelation d'une trafiquante de produit de faune le 25 août 2025 à Impfondo pièces presse Internet (https://www.adiac-congo.com)"/>
    <s v="Bonus to media officer"/>
    <s v="Media"/>
    <n v="6000"/>
    <m/>
    <n v="869170"/>
    <x v="11"/>
    <s v="CA-S-D1"/>
    <m/>
  </r>
  <r>
    <d v="2025-09-04T00:00:00"/>
    <s v="Bonus media portant sur l'interpelation d'une trafiquante de produit de faune le 25 août 2025 à Impfondo pièces presse Internet (https://www.lasemaineafricaine.info)"/>
    <s v="Bonus to media officer"/>
    <s v="Media"/>
    <n v="6000"/>
    <m/>
    <n v="863170"/>
    <x v="11"/>
    <s v="CA-S-D1"/>
    <m/>
  </r>
  <r>
    <d v="2025-09-04T00:00:00"/>
    <s v="Bonus media portant sur l'interpelation d'une trafiquante de produit de faune le 25 août 2025 à Impfondo pièces presse Internet (https://www.matinlibre.cg)"/>
    <s v="Bonus to media officer"/>
    <s v="Media"/>
    <n v="6000"/>
    <m/>
    <n v="857170"/>
    <x v="11"/>
    <s v="CA-S-D1"/>
    <m/>
  </r>
  <r>
    <d v="2025-09-04T00:00:00"/>
    <s v="Bonus media portant sur l'interpelation d'une trafiquante de produit de faune le 25 août 2025 à Impfondo pièces presse Internet (https://www.firstmediac.com)"/>
    <s v="Bonus to media officer"/>
    <s v="Media"/>
    <n v="6000"/>
    <m/>
    <n v="851170"/>
    <x v="11"/>
    <s v="CA-S-D1"/>
    <m/>
  </r>
  <r>
    <d v="2025-09-04T00:00:00"/>
    <s v="Bonus media portant sur l'interpelation d'une trafiquante de produit de faune le 25 août 2025 à Impfondo pièces presse Internet (https://www.journaldebrazza.com)"/>
    <s v="Bonus to media officer"/>
    <s v="Media"/>
    <n v="6000"/>
    <m/>
    <n v="845170"/>
    <x v="11"/>
    <s v="CA-S-D1"/>
    <m/>
  </r>
  <r>
    <d v="2025-09-04T00:00:00"/>
    <s v="Bonus media portant sur l'interpelation d'une trafiquante de produit de faune le 25 août 2025 à Impfondo pièces presse Internet (https://vmmedias.info)"/>
    <s v="Bonus to media officer"/>
    <s v="Media"/>
    <n v="6000"/>
    <m/>
    <n v="839170"/>
    <x v="11"/>
    <s v="CA-S-D1"/>
    <m/>
  </r>
  <r>
    <d v="2025-09-04T00:00:00"/>
    <s v="Bonus media portant sur l'interpelation d'une trafiquante de produit de faune le 25 août 2025 à Impfondo pièces presse Internet (https://aci.cg)"/>
    <s v="Bonus to media officer"/>
    <s v="Media"/>
    <n v="6000"/>
    <m/>
    <n v="833170"/>
    <x v="11"/>
    <s v="CA-S-D1"/>
    <m/>
  </r>
  <r>
    <d v="2025-09-04T00:00:00"/>
    <s v="Bonus media portant sur l'interpelation d'une trafiquante de produit de faune le 25 août 2025 à Impfondo pièces presse Internet (https://lesechos-congobrazza.com/)"/>
    <s v="Bonus to media officer"/>
    <s v="Media"/>
    <n v="6000"/>
    <m/>
    <n v="827170"/>
    <x v="11"/>
    <s v="CA-S-D1"/>
    <m/>
  </r>
  <r>
    <d v="2025-09-04T00:00:00"/>
    <s v="Bonus media portant sur l'interpelation d'une trafiquante de produit de faune le 25 août 2025 à Impfondo pièces presse Internet (https://opinionpublique.cg)"/>
    <s v="Bonus to media officer"/>
    <s v="Media"/>
    <n v="6000"/>
    <m/>
    <n v="821170"/>
    <x v="11"/>
    <s v="CA-S-D1"/>
    <m/>
  </r>
  <r>
    <d v="2025-09-04T00:00:00"/>
    <s v="Bonus media portant sur l'interpelation d'une trafiquante de produit de faune le 25 août 2025 à Impfondo pièces presse Internet (https://www.lhorizonafricain.com)"/>
    <s v="Bonus to media officer"/>
    <s v="Media"/>
    <n v="6000"/>
    <m/>
    <n v="815170"/>
    <x v="11"/>
    <s v="CA-S-D1"/>
    <m/>
  </r>
  <r>
    <d v="2025-09-04T00:00:00"/>
    <s v="Bonus media portant sur l'interpelation d'une trafiquante de produit de faune le 25 août 2025 à Impfondo pièces presse Papier (Dépêches de Brazzaville)"/>
    <s v="Bonus to media officer"/>
    <s v="Media"/>
    <n v="10000"/>
    <m/>
    <n v="805170"/>
    <x v="11"/>
    <s v="CA-S-D2"/>
    <m/>
  </r>
  <r>
    <d v="2025-09-04T00:00:00"/>
    <s v="Bonus media portant sur l'interpelation d'une trafiquante de produit de faune le 25 août 2025 à Impfondo pièces presse Papier (la semaine Africaine)"/>
    <s v="Bonus to media officer"/>
    <s v="Media"/>
    <n v="10000"/>
    <m/>
    <n v="795170"/>
    <x v="11"/>
    <s v="CA-S-D2"/>
    <m/>
  </r>
  <r>
    <d v="2025-09-04T00:00:00"/>
    <s v="Bonus media portant sur l'interpelation d'une trafiquante de produit de faune le 25 août 2025 à Impfondo pièces presse Papier( l'horizon Africain)"/>
    <s v="Bonus to media officer"/>
    <s v="Media"/>
    <n v="10000"/>
    <m/>
    <n v="785170"/>
    <x v="11"/>
    <s v="CA-S-D2"/>
    <m/>
  </r>
  <r>
    <d v="2025-09-04T00:00:00"/>
    <s v="Bonus media portant sur l'interpelation d'une trafiquante de produit de faune le 25 août 2025 à Impfondo pièces presse Papier (l'Agence congolaise de l'information)"/>
    <s v="Bonus to media officer"/>
    <s v="Media"/>
    <n v="10000"/>
    <m/>
    <n v="775170"/>
    <x v="11"/>
    <s v="CA-S-D2"/>
    <m/>
  </r>
  <r>
    <d v="2025-09-04T00:00:00"/>
    <s v="Bonus media portant sur l'interpelation d'une trafiquante de produit de faune le 25 août 2025 à Impfondo pièces presse Radio (radio citoyenne des jeunes)"/>
    <s v="Bonus to media officer"/>
    <s v="Media"/>
    <n v="6000"/>
    <m/>
    <n v="769170"/>
    <x v="11"/>
    <s v="CA-S-D3"/>
    <m/>
  </r>
  <r>
    <d v="2025-09-04T00:00:00"/>
    <s v="Bonus media portant sur l'interpelation d'une trafiquante de produit de faune le 25 août 2025 à Impfondo pièces presse Radio (radioLiberté français)"/>
    <s v="Bonus to media officer"/>
    <s v="Media"/>
    <n v="6000"/>
    <m/>
    <n v="763170"/>
    <x v="11"/>
    <s v="CA-S-D3"/>
    <m/>
  </r>
  <r>
    <d v="2025-09-04T00:00:00"/>
    <s v="Bonus media portant sur l'interpelation d'une trafiquante de produit de faune le 25 août 2025 à Impfondo pièces presse Radio (radioLiberté kituba)"/>
    <s v="Bonus to media officer"/>
    <s v="Media"/>
    <n v="6000"/>
    <m/>
    <n v="757170"/>
    <x v="11"/>
    <s v="CA-S-D3"/>
    <m/>
  </r>
  <r>
    <d v="2025-09-04T00:00:00"/>
    <s v="Bonus media portant sur l'interpelation d'une trafiquante de produit de faune le 25 août 2025 à Impfondo pièces presse Radio (radioLiberté lingala)"/>
    <s v="Bonus to media officer"/>
    <s v="Media"/>
    <n v="6000"/>
    <m/>
    <n v="751170"/>
    <x v="11"/>
    <s v="CA-S-D3"/>
    <m/>
  </r>
  <r>
    <d v="2025-09-04T00:00:00"/>
    <s v="Evariste"/>
    <s v="Versement"/>
    <m/>
    <n v="20000"/>
    <m/>
    <n v="731170"/>
    <x v="11"/>
    <s v="CA-S-V11"/>
    <m/>
  </r>
  <r>
    <d v="2025-09-05T00:00:00"/>
    <s v="P29"/>
    <s v="Versement"/>
    <m/>
    <n v="113000"/>
    <m/>
    <n v="618170"/>
    <x v="8"/>
    <s v="CA-S-V12"/>
    <m/>
  </r>
  <r>
    <d v="2025-09-05T00:00:00"/>
    <s v="IT87"/>
    <s v="Versement"/>
    <m/>
    <n v="105000"/>
    <m/>
    <n v="513170"/>
    <x v="10"/>
    <s v="CA-S-V13"/>
    <m/>
  </r>
  <r>
    <d v="2025-09-05T00:00:00"/>
    <s v="T73"/>
    <s v="Versement"/>
    <m/>
    <n v="116000"/>
    <m/>
    <n v="397170"/>
    <x v="9"/>
    <s v="CA-S-V14"/>
    <m/>
  </r>
  <r>
    <d v="2025-09-05T00:00:00"/>
    <s v="Crepin"/>
    <s v="Versement"/>
    <m/>
    <n v="84000"/>
    <m/>
    <n v="313170"/>
    <x v="6"/>
    <s v="CA-S-V15"/>
    <m/>
  </r>
  <r>
    <d v="2025-09-05T00:00:00"/>
    <s v="Donald-Roméo"/>
    <s v="Versement"/>
    <m/>
    <n v="75000"/>
    <m/>
    <n v="238170"/>
    <x v="5"/>
    <s v="CA-S-V16"/>
    <m/>
  </r>
  <r>
    <d v="2025-09-05T00:00:00"/>
    <s v="Frais de tansfert d'argent à P29, Crepin,T73, IT87 et Donald-Roméo"/>
    <s v="Transfert fees"/>
    <s v="Office"/>
    <n v="14790"/>
    <m/>
    <n v="223380"/>
    <x v="7"/>
    <s v="CA-S-R7"/>
    <m/>
  </r>
  <r>
    <d v="2025-09-05T00:00:00"/>
    <s v="DOVI"/>
    <s v="Versement"/>
    <m/>
    <n v="195000"/>
    <m/>
    <n v="28380"/>
    <x v="12"/>
    <s v="CA-S-V17"/>
    <m/>
  </r>
  <r>
    <d v="2025-09-08T00:00:00"/>
    <s v="BCI3654428"/>
    <s v="Versement"/>
    <m/>
    <m/>
    <n v="1000000"/>
    <n v="1028380"/>
    <x v="1"/>
    <s v="CA-S-V18"/>
    <m/>
  </r>
  <r>
    <d v="2025-09-08T00:00:00"/>
    <s v="Achat carburant groupe electrogène Bureau "/>
    <s v="Office Materiels"/>
    <s v="Office"/>
    <n v="31250"/>
    <m/>
    <n v="997130"/>
    <x v="7"/>
    <s v="CA-S-R8"/>
    <m/>
  </r>
  <r>
    <d v="2025-09-08T00:00:00"/>
    <s v="Crepin"/>
    <s v="Versement"/>
    <m/>
    <n v="100000"/>
    <m/>
    <n v="897130"/>
    <x v="6"/>
    <s v="CA-S-V19"/>
    <m/>
  </r>
  <r>
    <d v="2025-09-08T00:00:00"/>
    <s v="Frais de tansfert d'argent à Crepin"/>
    <s v="Transfert fees"/>
    <s v="Office"/>
    <n v="2000"/>
    <m/>
    <n v="895130"/>
    <x v="13"/>
    <s v="CA-S-R9"/>
    <m/>
  </r>
  <r>
    <d v="2025-09-08T00:00:00"/>
    <s v="Achat credit  teléphonique MTN/PALF/DU 08 au 14/09/2025 "/>
    <s v="Telephone"/>
    <s v="Office"/>
    <n v="5000"/>
    <m/>
    <n v="890130"/>
    <x v="2"/>
    <s v="Oui"/>
    <m/>
  </r>
  <r>
    <d v="2025-09-09T00:00:00"/>
    <s v="G12"/>
    <s v="Versement"/>
    <m/>
    <n v="20000"/>
    <m/>
    <n v="870130"/>
    <x v="14"/>
    <s v="CA-S-V20"/>
    <m/>
  </r>
  <r>
    <d v="2025-09-09T00:00:00"/>
    <s v="Bonus opération du 25/08/2025 à Impfondo/Evariste"/>
    <s v="Bonus"/>
    <s v="Operation"/>
    <n v="30000"/>
    <m/>
    <n v="840130"/>
    <x v="11"/>
    <s v="CA-S-D4"/>
    <m/>
  </r>
  <r>
    <d v="2025-09-10T00:00:00"/>
    <s v="T73"/>
    <s v="Versement"/>
    <m/>
    <n v="38000"/>
    <m/>
    <n v="802130"/>
    <x v="9"/>
    <s v="CA-S-V21"/>
    <m/>
  </r>
  <r>
    <d v="2025-09-10T00:00:00"/>
    <s v="P29"/>
    <s v="Versement"/>
    <m/>
    <n v="28000"/>
    <m/>
    <n v="774130"/>
    <x v="8"/>
    <s v="CA-S-V22"/>
    <m/>
  </r>
  <r>
    <d v="2025-09-10T00:00:00"/>
    <s v="Crepin"/>
    <s v="Versement"/>
    <m/>
    <n v="106000"/>
    <m/>
    <n v="668130"/>
    <x v="6"/>
    <s v="CA-S-V23"/>
    <m/>
  </r>
  <r>
    <d v="2025-09-10T00:00:00"/>
    <s v="Donald-Roméo"/>
    <s v="Versement"/>
    <m/>
    <n v="112000"/>
    <m/>
    <n v="556130"/>
    <x v="5"/>
    <s v="CA-S-V24"/>
    <m/>
  </r>
  <r>
    <d v="2025-09-10T00:00:00"/>
    <s v="Frais de tansfert d'argent à Crepin, Donald-Roméo, P29"/>
    <s v="Transfert fees"/>
    <s v="Office"/>
    <n v="7860"/>
    <m/>
    <n v="548270"/>
    <x v="13"/>
    <s v="CA-S-R10"/>
    <m/>
  </r>
  <r>
    <d v="2025-09-10T00:00:00"/>
    <s v="Romain"/>
    <s v="Versement"/>
    <m/>
    <n v="20000"/>
    <m/>
    <n v="528270"/>
    <x v="13"/>
    <s v="CA-S-V25"/>
    <m/>
  </r>
  <r>
    <d v="2025-09-11T00:00:00"/>
    <s v="P29"/>
    <s v="Versement"/>
    <m/>
    <n v="120000"/>
    <m/>
    <n v="408270"/>
    <x v="8"/>
    <s v="CA-S-V26"/>
    <m/>
  </r>
  <r>
    <d v="2025-09-11T00:00:00"/>
    <s v="T73"/>
    <s v="Versement"/>
    <m/>
    <n v="120000"/>
    <m/>
    <n v="288270"/>
    <x v="9"/>
    <s v="CA-S-V27"/>
    <m/>
  </r>
  <r>
    <d v="2025-09-11T00:00:00"/>
    <s v="Frais de tansfert d'argent à T73 et P29"/>
    <s v="Transfert fees"/>
    <s v="Office"/>
    <n v="7200"/>
    <m/>
    <n v="281070"/>
    <x v="13"/>
    <s v="CA-S-R11"/>
    <m/>
  </r>
  <r>
    <d v="2025-09-12T00:00:00"/>
    <s v="Réglement facture électricité periode Juillet-Aôut 2025/bureau PALF"/>
    <s v="Rent &amp; Utilities"/>
    <s v="Office"/>
    <n v="55270"/>
    <m/>
    <n v="225800"/>
    <x v="3"/>
    <s v="CA-S-R12"/>
    <m/>
  </r>
  <r>
    <d v="2025-09-15T00:00:00"/>
    <s v="Roderlin"/>
    <s v="Versement"/>
    <m/>
    <n v="20000"/>
    <m/>
    <n v="205800"/>
    <x v="3"/>
    <s v="CA-S-V28"/>
    <m/>
  </r>
  <r>
    <d v="2025-09-15T00:00:00"/>
    <s v="P29"/>
    <s v="Versement"/>
    <m/>
    <n v="90000"/>
    <m/>
    <n v="115800"/>
    <x v="8"/>
    <s v="CA-S-V29"/>
    <m/>
  </r>
  <r>
    <d v="2025-09-15T00:00:00"/>
    <s v="T73"/>
    <s v="Versement"/>
    <m/>
    <n v="90000"/>
    <m/>
    <n v="25800"/>
    <x v="9"/>
    <s v="CA-S-V30"/>
    <m/>
  </r>
  <r>
    <d v="2025-09-15T00:00:00"/>
    <s v="Frais de tansfert d'argent à T73 et P29"/>
    <s v="Transfert fees"/>
    <s v="Office"/>
    <n v="3600"/>
    <m/>
    <n v="22200"/>
    <x v="7"/>
    <s v="CA-S-R13"/>
    <m/>
  </r>
  <r>
    <d v="2025-09-15T00:00:00"/>
    <s v="Donald-Roméo"/>
    <s v="Versement"/>
    <m/>
    <n v="20000"/>
    <m/>
    <n v="2200"/>
    <x v="5"/>
    <s v="CA-S-V31"/>
    <m/>
  </r>
  <r>
    <d v="2025-09-16T00:00:00"/>
    <s v="BCI3654433"/>
    <s v="Versement"/>
    <m/>
    <m/>
    <n v="500000"/>
    <n v="502200"/>
    <x v="1"/>
    <s v="CA-S-V32"/>
    <m/>
  </r>
  <r>
    <d v="2025-09-17T00:00:00"/>
    <s v="Achat credit  teléphonique MTN/PALF/DU 01 au 07/09/2025 "/>
    <s v="Telephone"/>
    <s v="Office"/>
    <n v="112500"/>
    <m/>
    <n v="389700"/>
    <x v="2"/>
    <s v="Oui"/>
    <m/>
  </r>
  <r>
    <d v="2025-09-17T00:00:00"/>
    <s v="IT87"/>
    <s v="Versement"/>
    <m/>
    <n v="20000"/>
    <m/>
    <n v="369700"/>
    <x v="10"/>
    <s v="CA-S-V33"/>
    <m/>
  </r>
  <r>
    <d v="2025-09-17T00:00:00"/>
    <s v="Bonus opération du 25/08/2025 à Impfondo/Crépin"/>
    <s v="Bonus"/>
    <s v="Operation"/>
    <n v="35000"/>
    <m/>
    <n v="334700"/>
    <x v="6"/>
    <s v="CA-S-D5"/>
    <m/>
  </r>
  <r>
    <d v="2025-09-18T00:00:00"/>
    <s v="P29"/>
    <s v="Versement"/>
    <m/>
    <n v="120000"/>
    <m/>
    <n v="214700"/>
    <x v="8"/>
    <s v="CA-S-V34"/>
    <m/>
  </r>
  <r>
    <d v="2025-09-18T00:00:00"/>
    <s v="T73"/>
    <s v="Versement"/>
    <m/>
    <n v="120000"/>
    <m/>
    <n v="94700"/>
    <x v="9"/>
    <s v="CA-S-V35"/>
    <m/>
  </r>
  <r>
    <d v="2025-09-18T00:00:00"/>
    <s v="Frais de tansfert d'argent à T73 et P29"/>
    <s v="Transfert fees"/>
    <s v="Office"/>
    <n v="7200"/>
    <m/>
    <n v="87500"/>
    <x v="4"/>
    <s v="CA-S-R14"/>
    <m/>
  </r>
  <r>
    <d v="2025-09-19T00:00:00"/>
    <s v="Achat carburant groupe electrogène Bureau"/>
    <s v="Office Materiels"/>
    <s v="Office"/>
    <n v="31250"/>
    <m/>
    <n v="56250"/>
    <x v="3"/>
    <s v="CA-S-R15"/>
    <m/>
  </r>
  <r>
    <d v="2025-09-19T00:00:00"/>
    <s v="Parfaite"/>
    <s v="Versement"/>
    <m/>
    <n v="20000"/>
    <m/>
    <n v="36250"/>
    <x v="4"/>
    <s v="CA-S-V36"/>
    <m/>
  </r>
  <r>
    <d v="2025-09-22T00:00:00"/>
    <s v="BCI3654437"/>
    <s v="Versement"/>
    <m/>
    <m/>
    <n v="200000"/>
    <n v="236250"/>
    <x v="1"/>
    <s v="CA-S-V37"/>
    <m/>
  </r>
  <r>
    <d v="2025-09-22T00:00:00"/>
    <s v="Bonus à un informateur en RDC"/>
    <s v="Trust building"/>
    <s v="Investigation"/>
    <n v="35000"/>
    <m/>
    <n v="201250"/>
    <x v="13"/>
    <s v="CA-S-R16"/>
    <m/>
  </r>
  <r>
    <d v="2025-09-22T00:00:00"/>
    <s v="Frais de tansfert d'argent àl'informateur en RDC"/>
    <s v="Transfert fees"/>
    <s v="Office"/>
    <n v="2278"/>
    <m/>
    <n v="198972"/>
    <x v="13"/>
    <s v="CA-S-R17"/>
    <m/>
  </r>
  <r>
    <d v="2025-09-23T00:00:00"/>
    <s v="P29"/>
    <s v="Versement"/>
    <m/>
    <n v="50000"/>
    <m/>
    <n v="148972"/>
    <x v="8"/>
    <s v="CA-S-V38"/>
    <m/>
  </r>
  <r>
    <d v="2025-09-23T00:00:00"/>
    <s v="T73"/>
    <s v="Versement"/>
    <m/>
    <n v="50000"/>
    <m/>
    <n v="98972"/>
    <x v="9"/>
    <s v="CA-S-V39"/>
    <m/>
  </r>
  <r>
    <d v="2025-09-23T00:00:00"/>
    <s v="Frais de tansfert d'argent  a P29 et T73"/>
    <s v="Transfert fees"/>
    <s v="Office"/>
    <n v="2000"/>
    <m/>
    <n v="96972"/>
    <x v="4"/>
    <s v="CA-S-R18"/>
    <m/>
  </r>
  <r>
    <d v="2025-09-23T00:00:00"/>
    <s v="Achat eau mineral 10 LITRES/Bureau"/>
    <s v="Office Materiels"/>
    <s v="Office"/>
    <n v="25000"/>
    <m/>
    <n v="71972"/>
    <x v="7"/>
    <s v="CA-S-R19"/>
    <m/>
  </r>
  <r>
    <d v="2025-09-24T00:00:00"/>
    <s v="G12"/>
    <s v="Versement"/>
    <m/>
    <n v="10000"/>
    <m/>
    <n v="61972"/>
    <x v="14"/>
    <s v="CA-S-V40"/>
    <m/>
  </r>
  <r>
    <d v="2025-09-24T00:00:00"/>
    <s v="IT87"/>
    <s v="Versement"/>
    <m/>
    <n v="10000"/>
    <m/>
    <n v="51972"/>
    <x v="10"/>
    <s v="CA-S-V41"/>
    <m/>
  </r>
  <r>
    <d v="2025-09-24T00:00:00"/>
    <s v="Frais de réparation d'imprimante bureau PALF"/>
    <s v="Office Materiels"/>
    <s v="Office"/>
    <n v="19000"/>
    <m/>
    <n v="32972"/>
    <x v="4"/>
    <s v="CA-S-R20"/>
    <m/>
  </r>
  <r>
    <d v="2025-09-26T00:00:00"/>
    <s v="Frais de ramassage Ordure de Septembre 2025"/>
    <s v="Rent &amp; Utilities"/>
    <s v="Office"/>
    <n v="6000"/>
    <m/>
    <n v="26972"/>
    <x v="4"/>
    <s v="CA-S-R21"/>
    <m/>
  </r>
  <r>
    <d v="2025-09-26T00:00:00"/>
    <s v="DOVI"/>
    <s v="Versement"/>
    <m/>
    <m/>
    <n v="80000"/>
    <n v="106972"/>
    <x v="12"/>
    <s v="CA-S-V42"/>
    <m/>
  </r>
  <r>
    <d v="2025-09-26T00:00:00"/>
    <s v="P29"/>
    <s v="Versement"/>
    <m/>
    <n v="40000"/>
    <m/>
    <n v="66972"/>
    <x v="8"/>
    <s v="CA-S-V43"/>
    <m/>
  </r>
  <r>
    <d v="2025-09-26T00:00:00"/>
    <s v="T73"/>
    <s v="Versement"/>
    <m/>
    <n v="40000"/>
    <m/>
    <n v="26972"/>
    <x v="9"/>
    <s v="CA-S-V44"/>
    <m/>
  </r>
  <r>
    <d v="2025-09-26T00:00:00"/>
    <s v="Frais de tansfert d'argent  a P29 et T73"/>
    <s v="Transfert fees"/>
    <s v="Office"/>
    <n v="2800"/>
    <m/>
    <n v="24172"/>
    <x v="4"/>
    <s v="CA-S-R22"/>
    <m/>
  </r>
  <r>
    <d v="2025-09-28T00:00:00"/>
    <s v="WESTEN UNION 625-246-6421( Jana) et WESTEN UNION 420-414-4729(lydia  Ouganda)"/>
    <s v="Versement"/>
    <m/>
    <m/>
    <n v="1200558"/>
    <n v="1224730"/>
    <x v="15"/>
    <s v="CA-S-V45"/>
    <m/>
  </r>
  <r>
    <d v="2025-09-28T00:00:00"/>
    <s v="Crepin"/>
    <s v="Versement"/>
    <m/>
    <n v="385000"/>
    <m/>
    <n v="839730"/>
    <x v="6"/>
    <s v="CA-S-V46"/>
    <m/>
  </r>
  <r>
    <d v="2025-09-28T00:00:00"/>
    <s v="Donald-Roméo"/>
    <s v="Versement"/>
    <m/>
    <n v="130000"/>
    <m/>
    <n v="709730"/>
    <x v="5"/>
    <s v="CA-S-V47"/>
    <m/>
  </r>
  <r>
    <d v="2025-09-28T00:00:00"/>
    <s v="Evariste"/>
    <s v="Versement"/>
    <m/>
    <n v="192000"/>
    <m/>
    <n v="517730"/>
    <x v="11"/>
    <s v="CA-S-V48"/>
    <m/>
  </r>
  <r>
    <d v="2025-09-28T00:00:00"/>
    <s v="P29"/>
    <s v="Versement"/>
    <m/>
    <n v="260000"/>
    <m/>
    <n v="257730"/>
    <x v="8"/>
    <s v="CA-S-V49"/>
    <m/>
  </r>
  <r>
    <d v="2025-09-28T00:00:00"/>
    <s v="T73"/>
    <s v="Versement"/>
    <m/>
    <n v="185000"/>
    <m/>
    <n v="72730"/>
    <x v="9"/>
    <s v="CA-S-V50"/>
    <m/>
  </r>
  <r>
    <d v="2025-09-29T00:00:00"/>
    <s v="Achat carburant groupe electrogène Bureau "/>
    <s v="Office Materiels"/>
    <s v="Office"/>
    <n v="15625"/>
    <m/>
    <n v="57105"/>
    <x v="13"/>
    <s v="CA-S-R23"/>
    <m/>
  </r>
  <r>
    <d v="2025-09-29T00:00:00"/>
    <s v="DOVI"/>
    <s v="Versement"/>
    <m/>
    <m/>
    <n v="110000"/>
    <n v="167105"/>
    <x v="12"/>
    <s v="CA-S-V51"/>
    <m/>
  </r>
  <r>
    <d v="2025-09-29T00:00:00"/>
    <s v="Achat credit  teléphonique MTN/PALF/DU 29/09 au 05/10/2025 "/>
    <s v="Telephone"/>
    <s v="Office"/>
    <n v="112500"/>
    <m/>
    <n v="54605"/>
    <x v="2"/>
    <s v="Oui"/>
    <m/>
  </r>
  <r>
    <d v="2025-09-30T00:00:00"/>
    <s v="BCI3654401"/>
    <s v="Versement"/>
    <m/>
    <m/>
    <n v="2000000"/>
    <n v="2054605"/>
    <x v="1"/>
    <s v="CA-S-V52"/>
    <m/>
  </r>
  <r>
    <d v="2025-09-30T00:00:00"/>
    <s v=" Envois d'argent WESTEN UNION Jana et Lydia"/>
    <s v="Versement"/>
    <m/>
    <n v="1200558"/>
    <m/>
    <n v="854047"/>
    <x v="15"/>
    <s v="CA-S-V53"/>
    <m/>
  </r>
  <r>
    <d v="2025-09-30T00:00:00"/>
    <s v="Frais de tansfert d'argent  à Jana et Lydia"/>
    <s v="Transfert fees"/>
    <s v="Office"/>
    <n v="122074"/>
    <m/>
    <n v="731973"/>
    <x v="4"/>
    <s v="CA-S-R24"/>
    <m/>
  </r>
  <r>
    <d v="2025-09-30T00:00:00"/>
    <s v="Reglement facture internet periode du 01/10 au 31/10/2025 bureau PALF"/>
    <s v="Internet"/>
    <s v="Office"/>
    <n v="45050"/>
    <m/>
    <n v="686923"/>
    <x v="4"/>
    <s v="CA-S-R25"/>
    <m/>
  </r>
  <r>
    <d v="2025-09-30T00:00:00"/>
    <s v="Parfaite"/>
    <s v="Versement"/>
    <m/>
    <n v="20000"/>
    <m/>
    <n v="666923"/>
    <x v="4"/>
    <s v="CA-S-V54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2701">
  <r>
    <x v="0"/>
    <s v="Achat credit MTN/Benin pour internet  et communication"/>
    <s v="Telephone"/>
    <s v="Management"/>
    <x v="0"/>
    <x v="0"/>
    <n v="570.21500000000003"/>
    <s v="DOVI"/>
    <s v="DH-J-R1"/>
    <s v="PALF"/>
    <x v="0"/>
    <s v="Congo"/>
    <x v="0"/>
    <x v="0"/>
    <m/>
  </r>
  <r>
    <x v="0"/>
    <s v="Achat credit  teléphonique MTN/PALF/Première partie du mois de Janvier 2025/Office"/>
    <s v="Telephone"/>
    <s v="Office"/>
    <x v="1"/>
    <x v="1"/>
    <n v="570.21500000000003"/>
    <s v="Merveille"/>
    <s v="CA-J-R1"/>
    <s v="PALF"/>
    <x v="0"/>
    <s v="Congo"/>
    <x v="0"/>
    <x v="0"/>
    <m/>
  </r>
  <r>
    <x v="0"/>
    <s v="Achat credit  teléphonique MTN/PALF/Première partie du mois de Janvier 2025/Legal"/>
    <s v="Telephone"/>
    <s v="Legal"/>
    <x v="2"/>
    <x v="2"/>
    <n v="570.21500000000003"/>
    <s v="Merveille"/>
    <s v="CA-J-R2"/>
    <s v="PALF"/>
    <x v="0"/>
    <s v="Congo"/>
    <x v="0"/>
    <x v="0"/>
    <m/>
  </r>
  <r>
    <x v="0"/>
    <s v="Achat credit  teléphonique MTN/PALF/Première partie du mois de Janvier 2025/Investigation"/>
    <s v="Telephone"/>
    <s v="Investigations"/>
    <x v="3"/>
    <x v="3"/>
    <n v="570.21500000000003"/>
    <s v="Merveille"/>
    <s v="CA-J-R3"/>
    <s v="PALF"/>
    <x v="0"/>
    <s v="Congo"/>
    <x v="0"/>
    <x v="0"/>
    <m/>
  </r>
  <r>
    <x v="0"/>
    <s v="Achat credit  teléphonique MTN/PALF/Première partie du mois de Janvier 2025/Media"/>
    <s v="Telephone"/>
    <s v="Media"/>
    <x v="4"/>
    <x v="4"/>
    <n v="570.21500000000003"/>
    <s v="Merveille"/>
    <s v="CA-J-R4"/>
    <s v="PALF"/>
    <x v="0"/>
    <s v="Congo"/>
    <x v="0"/>
    <x v="0"/>
    <m/>
  </r>
  <r>
    <x v="0"/>
    <s v="Achat credit  teléphonique Airtel/PALF/Première partie du mois de Janvier 2025/Legal"/>
    <s v="Telephone"/>
    <s v="Legal"/>
    <x v="4"/>
    <x v="4"/>
    <n v="570.21500000000003"/>
    <s v="Merveille"/>
    <s v="CA-J-R5"/>
    <s v="PALF"/>
    <x v="0"/>
    <s v="Congo"/>
    <x v="0"/>
    <x v="0"/>
    <m/>
  </r>
  <r>
    <x v="0"/>
    <s v="Achat credit  teléphonique Airtel/PALF/Première partie du mois de Janvier 2025/Investigation"/>
    <s v="Telephone"/>
    <s v="Investigations"/>
    <x v="5"/>
    <x v="5"/>
    <n v="570.21500000000003"/>
    <s v="Merveille"/>
    <s v="CA-J-R6"/>
    <s v="PALF"/>
    <x v="0"/>
    <s v="Congo"/>
    <x v="0"/>
    <x v="0"/>
    <m/>
  </r>
  <r>
    <x v="0"/>
    <s v="Achat credit  teléphonique Airtel/PALF/Première partie du mois de Janvier 2025/Media"/>
    <s v="Telephone"/>
    <s v="Media"/>
    <x v="6"/>
    <x v="6"/>
    <n v="570.21500000000003"/>
    <s v="Merveille"/>
    <s v="CA-J-R7"/>
    <s v="PALF"/>
    <x v="0"/>
    <s v="Congo"/>
    <x v="0"/>
    <x v="0"/>
    <m/>
  </r>
  <r>
    <x v="1"/>
    <s v="Achat eau mineral 10 bidons de 16,5Litres pour le bureau PALF"/>
    <s v="Office Materials"/>
    <s v="Office"/>
    <x v="7"/>
    <x v="7"/>
    <n v="570.21500000000003"/>
    <s v="Merveille"/>
    <s v="CA-J-R8"/>
    <s v="PALF"/>
    <x v="0"/>
    <s v="Congo"/>
    <x v="0"/>
    <x v="0"/>
    <m/>
  </r>
  <r>
    <x v="2"/>
    <s v="Solde honoraire contrat n°79 Dolisie cas BOUTSANA et Consorts/ Maître BANZOUZI Alain"/>
    <s v="Lawyer Fees"/>
    <s v="Legal"/>
    <x v="8"/>
    <x v="8"/>
    <n v="570.21500000000003"/>
    <s v="BCI"/>
    <s v="BQ-J-R1"/>
    <s v="PALF"/>
    <x v="0"/>
    <s v="Congo"/>
    <x v="0"/>
    <x v="0"/>
    <m/>
  </r>
  <r>
    <x v="2"/>
    <s v="Solde honoraire contrat n°67 Sibiti et Consorts/ Maître Helene"/>
    <s v="Lawyer Fees"/>
    <s v="Legal"/>
    <x v="8"/>
    <x v="8"/>
    <n v="570.21500000000003"/>
    <s v="BCI"/>
    <s v="BQ-J-R2"/>
    <s v="PALF"/>
    <x v="0"/>
    <s v="Congo"/>
    <x v="0"/>
    <x v="0"/>
    <m/>
  </r>
  <r>
    <x v="2"/>
    <s v="Reglement loyer du mois de Décembre 2024/3654776"/>
    <s v="Rent &amp; Utilities"/>
    <s v="Office"/>
    <x v="9"/>
    <x v="9"/>
    <n v="596.19299999999998"/>
    <s v="BCI"/>
    <s v="BQ-J-R3"/>
    <s v="PALF"/>
    <x v="0"/>
    <s v="Congo"/>
    <x v="0"/>
    <x v="0"/>
    <m/>
  </r>
  <r>
    <x v="2"/>
    <s v="Reglement Facture Gardiennage Mois de Décembre 2024/3654775"/>
    <s v="Services"/>
    <s v="Office"/>
    <x v="10"/>
    <x v="10"/>
    <n v="596.19299999999998"/>
    <s v="BCI"/>
    <s v="BQ-J-R13"/>
    <s v="PALF"/>
    <x v="0"/>
    <s v="Congo"/>
    <x v="0"/>
    <x v="0"/>
    <m/>
  </r>
  <r>
    <x v="2"/>
    <s v="Paiement Honoraire Me LOCKO/Mois de Décembre 2024/3654777"/>
    <s v="Lawyer Fees"/>
    <s v="Legal"/>
    <x v="11"/>
    <x v="11"/>
    <n v="596.19299999999998"/>
    <s v="BCI"/>
    <s v="BQ-J-R14"/>
    <s v="PALF"/>
    <x v="0"/>
    <s v="Congo"/>
    <x v="0"/>
    <x v="0"/>
    <m/>
  </r>
  <r>
    <x v="3"/>
    <s v="achat billet: Brazzaville - Owando/T73"/>
    <s v="Transport"/>
    <s v="Investigations"/>
    <x v="12"/>
    <x v="12"/>
    <n v="570.21500000000003"/>
    <s v="T73"/>
    <s v="T73-J-R1"/>
    <s v="PALF"/>
    <x v="0"/>
    <s v="Congo"/>
    <x v="0"/>
    <x v="0"/>
    <m/>
  </r>
  <r>
    <x v="3"/>
    <s v="T73 - CONGO Food Allowance du 07 au 17/01/2025 (10 nuitées) à Owando et Oyo"/>
    <s v="Travel Subsistence"/>
    <s v="Investigations"/>
    <x v="13"/>
    <x v="13"/>
    <n v="570.21500000000003"/>
    <s v="T73"/>
    <s v="T73-J-D1"/>
    <s v="PALF"/>
    <x v="0"/>
    <s v="Congo"/>
    <x v="0"/>
    <x v="0"/>
    <m/>
  </r>
  <r>
    <x v="4"/>
    <s v="Achat billet d'Avion Retour Cotonou - Brazzaville/DOVI"/>
    <s v="Transport"/>
    <s v="Management"/>
    <x v="14"/>
    <x v="14"/>
    <n v="570.21500000000003"/>
    <s v="DOVI"/>
    <s v="DH-J-R2"/>
    <s v="PALF"/>
    <x v="0"/>
    <s v="Congo"/>
    <x v="0"/>
    <x v="0"/>
    <m/>
  </r>
  <r>
    <x v="4"/>
    <s v="Frais de transfert d'argent à DOVI"/>
    <s v="Transfer Fees"/>
    <s v="Office"/>
    <x v="15"/>
    <x v="15"/>
    <n v="570.21500000000003"/>
    <s v="Merveille"/>
    <s v="CA-J-R9"/>
    <s v="PALF"/>
    <x v="0"/>
    <s v="Congo"/>
    <x v="0"/>
    <x v="0"/>
    <m/>
  </r>
  <r>
    <x v="4"/>
    <s v="Achat billet brazzaville-owando/P29"/>
    <s v="Transport"/>
    <s v="Investigations"/>
    <x v="12"/>
    <x v="12"/>
    <n v="570.21500000000003"/>
    <s v="P29"/>
    <s v="P29-J-R1"/>
    <s v="PALF"/>
    <x v="0"/>
    <s v="Congo"/>
    <x v="0"/>
    <x v="0"/>
    <m/>
  </r>
  <r>
    <x v="4"/>
    <s v="Achat de Billet Brazzaville-Owando/Romain"/>
    <s v="Transport"/>
    <s v="Legal"/>
    <x v="12"/>
    <x v="12"/>
    <n v="570.21500000000003"/>
    <s v="Romain"/>
    <s v="RM-J-R1"/>
    <s v="PALF"/>
    <x v="0"/>
    <s v="Congo"/>
    <x v="0"/>
    <x v="0"/>
    <m/>
  </r>
  <r>
    <x v="4"/>
    <s v="Achat billet Brazzaville - Owando/Abraham"/>
    <s v="Transport"/>
    <s v="Legal"/>
    <x v="12"/>
    <x v="12"/>
    <n v="570.21500000000003"/>
    <s v="Abraham"/>
    <s v="AB-J-R1"/>
    <s v="PALF"/>
    <x v="0"/>
    <s v="Congo"/>
    <x v="0"/>
    <x v="0"/>
    <m/>
  </r>
  <r>
    <x v="4"/>
    <s v="Frais de transfert d'argent à T73"/>
    <s v="Transfer Fees"/>
    <s v="Office"/>
    <x v="16"/>
    <x v="16"/>
    <n v="570.21500000000003"/>
    <s v="Roderlin"/>
    <s v="CA-J-R10"/>
    <s v="PALF"/>
    <x v="0"/>
    <s v="Congo"/>
    <x v="0"/>
    <x v="0"/>
    <m/>
  </r>
  <r>
    <x v="4"/>
    <s v="Achat billet Brazzaville-Owando/Donald-Roméo"/>
    <s v="Transport"/>
    <s v="Legal"/>
    <x v="12"/>
    <x v="12"/>
    <n v="570.21500000000003"/>
    <s v="Donald-Roméo"/>
    <s v="DR-J-R1"/>
    <s v="PALF"/>
    <x v="0"/>
    <s v="Congo"/>
    <x v="0"/>
    <x v="0"/>
    <m/>
  </r>
  <r>
    <x v="5"/>
    <s v="Billet: Brazzaville-Owando/Crepin"/>
    <s v="Transport"/>
    <s v="Operations"/>
    <x v="12"/>
    <x v="12"/>
    <n v="570.21500000000003"/>
    <s v="Crépin"/>
    <s v="CR-J-R1"/>
    <s v="PALF"/>
    <x v="0"/>
    <s v="Congo"/>
    <x v="0"/>
    <x v="0"/>
    <m/>
  </r>
  <r>
    <x v="5"/>
    <s v="P29 - CONGO Foodallowance mission du 09 au 17/01/2025 à Owando et Oyo (08 Nuitées)"/>
    <s v="Travel Subsistence"/>
    <s v="Investigations"/>
    <x v="17"/>
    <x v="17"/>
    <n v="570.21500000000003"/>
    <s v="P29"/>
    <s v="P29-J-D1"/>
    <s v="PALF"/>
    <x v="0"/>
    <s v="Congo"/>
    <x v="0"/>
    <x v="0"/>
    <m/>
  </r>
  <r>
    <x v="5"/>
    <s v="ROMAIN-CONGO Food Alowance du 09 au 25  janvier à Owando(16 Nuitées)"/>
    <s v="Travel Subsistence"/>
    <s v="Legal"/>
    <x v="18"/>
    <x v="18"/>
    <n v="570.21500000000003"/>
    <s v="Romain"/>
    <s v="RM-J-D1"/>
    <s v="PALF"/>
    <x v="0"/>
    <s v="Congo"/>
    <x v="0"/>
    <x v="0"/>
    <m/>
  </r>
  <r>
    <x v="5"/>
    <s v="ABRAHAM - CONGO food allowance du 09 au 17/01/2025 à Owando (08Nuitées)"/>
    <s v="Travel Subsistence"/>
    <s v="Legal"/>
    <x v="17"/>
    <x v="17"/>
    <n v="570.21500000000003"/>
    <s v="Abraham"/>
    <s v="AB-J-D1"/>
    <s v="PALF"/>
    <x v="0"/>
    <s v="Congo"/>
    <x v="0"/>
    <x v="0"/>
    <m/>
  </r>
  <r>
    <x v="5"/>
    <s v="Frais de transfert d'argent à P29 et Romain"/>
    <s v="Transfer Fees"/>
    <s v="Office"/>
    <x v="19"/>
    <x v="19"/>
    <n v="570.21500000000003"/>
    <s v="Roderlin"/>
    <s v="CA-J-R11"/>
    <s v="PALF"/>
    <x v="0"/>
    <s v="Congo"/>
    <x v="0"/>
    <x v="0"/>
    <m/>
  </r>
  <r>
    <x v="5"/>
    <s v="Donald-Roméo - CONGO Food Allowance Mission du  09 au 19/01/2025 à Owando"/>
    <s v="Travel Subsistence"/>
    <s v="Legal"/>
    <x v="13"/>
    <x v="13"/>
    <n v="570.21500000000003"/>
    <s v="Donald-Roméo"/>
    <s v="DR-J-D1"/>
    <s v="PALF"/>
    <x v="0"/>
    <s v="Congo"/>
    <x v="0"/>
    <x v="0"/>
    <m/>
  </r>
  <r>
    <x v="5"/>
    <s v="Achat billet Brazzaville-Owando/Evariste"/>
    <s v="Transport"/>
    <s v="Media"/>
    <x v="12"/>
    <x v="12"/>
    <n v="570.21500000000003"/>
    <s v="Evariste"/>
    <s v="EV-J-R1"/>
    <s v="PALF"/>
    <x v="0"/>
    <s v="Congo"/>
    <x v="0"/>
    <x v="0"/>
    <m/>
  </r>
  <r>
    <x v="6"/>
    <s v="CREPIN IBOUILI - CONGO Food-Allowance à Owando du 10 au 25/01/2025/(15 Nuitées)"/>
    <s v="Travel Subsistence"/>
    <s v="Legal"/>
    <x v="11"/>
    <x v="20"/>
    <n v="570.21500000000003"/>
    <s v="Crépin"/>
    <s v="CR-J-D1"/>
    <s v="PALF"/>
    <x v="0"/>
    <s v="Congo"/>
    <x v="0"/>
    <x v="0"/>
    <m/>
  </r>
  <r>
    <x v="6"/>
    <s v="Reglement facture d'electricité periode Novembre - Decembre 2024/Bureau PALF"/>
    <s v="Rent &amp; Utilities"/>
    <s v="Office"/>
    <x v="20"/>
    <x v="21"/>
    <n v="570.21500000000003"/>
    <s v="Roderlin"/>
    <s v="CA-J-R13"/>
    <s v="PALF"/>
    <x v="0"/>
    <s v="Congo"/>
    <x v="0"/>
    <x v="0"/>
    <m/>
  </r>
  <r>
    <x v="6"/>
    <s v="EVARISTE - CONGO Food Allowance du 10 au 17 janvier 2025 mission à Owando (7 nuitées)"/>
    <s v="Travel Subsistence"/>
    <s v="Media"/>
    <x v="21"/>
    <x v="22"/>
    <n v="570.21500000000003"/>
    <s v="Evariste"/>
    <s v="EV-J-D1"/>
    <s v="PALF"/>
    <x v="0"/>
    <s v="Congo"/>
    <x v="0"/>
    <x v="0"/>
    <m/>
  </r>
  <r>
    <x v="7"/>
    <s v="CREPIN IBOUILI  - CONGO Frais d'hôtel à Owando du 10 au 13/01/2025 (03 Nuitées)"/>
    <s v="Travel Subsistence"/>
    <s v="Operations"/>
    <x v="22"/>
    <x v="23"/>
    <n v="570.21500000000003"/>
    <s v="Crépin"/>
    <s v="CR-J-R2"/>
    <s v="PALF"/>
    <x v="0"/>
    <s v="Congo"/>
    <x v="0"/>
    <x v="0"/>
    <m/>
  </r>
  <r>
    <x v="7"/>
    <s v="P29 - CONGO Frais d'hotel du 09 au 13/01/2025 à owando (4 Nuitées)"/>
    <s v="Travel Subsistence"/>
    <s v="Investigations"/>
    <x v="23"/>
    <x v="24"/>
    <n v="570.21500000000003"/>
    <s v="P29"/>
    <s v="P29-J-R2"/>
    <s v="PALF"/>
    <x v="0"/>
    <s v="Congo"/>
    <x v="0"/>
    <x v="0"/>
    <m/>
  </r>
  <r>
    <x v="7"/>
    <s v="Frais de transfert d'argent à T73"/>
    <s v="Transfer Fees"/>
    <s v="Office"/>
    <x v="24"/>
    <x v="25"/>
    <n v="570.21500000000003"/>
    <s v="Roderlin"/>
    <s v="CA-J-R14"/>
    <s v="PALF"/>
    <x v="0"/>
    <s v="Congo"/>
    <x v="0"/>
    <x v="0"/>
    <m/>
  </r>
  <r>
    <x v="8"/>
    <s v="Reglement facture d'hotel Eric ONA du 07 au 14/01/2025/(07 Nuitées)"/>
    <s v="Travel Subsistence"/>
    <s v="Management"/>
    <x v="25"/>
    <x v="26"/>
    <n v="570.21500000000003"/>
    <s v="Abraham"/>
    <s v="CA-J-R12"/>
    <s v="PALF"/>
    <x v="0"/>
    <s v="Congo"/>
    <x v="0"/>
    <x v="0"/>
    <m/>
  </r>
  <r>
    <x v="8"/>
    <s v="Frais de transfert d'argent à Romain,P29 et Donald-Roméo"/>
    <s v="Transfer Fees"/>
    <s v="Office"/>
    <x v="26"/>
    <x v="27"/>
    <n v="570.21500000000003"/>
    <s v="Roderlin"/>
    <s v="CA-J-R15"/>
    <s v="PALF"/>
    <x v="0"/>
    <s v="Congo"/>
    <x v="0"/>
    <x v="0"/>
    <m/>
  </r>
  <r>
    <x v="9"/>
    <s v="Raffraichissement et plats avec 03 gendarmes pendant l'attente du top"/>
    <s v="Travel Subsistence"/>
    <s v="Operations"/>
    <x v="27"/>
    <x v="28"/>
    <n v="570.21500000000003"/>
    <s v="Crépin"/>
    <s v="CR-J-R3"/>
    <s v="PALF"/>
    <x v="0"/>
    <s v="Congo"/>
    <x v="0"/>
    <x v="0"/>
    <m/>
  </r>
  <r>
    <x v="9"/>
    <s v="Achat credit  teléphonique MTN/PALF/Deuxième partie du mois de Janvier 2025/Management"/>
    <s v="Telephone"/>
    <s v="Management"/>
    <x v="28"/>
    <x v="29"/>
    <n v="570.21500000000003"/>
    <s v="Merveille"/>
    <s v="CA-J-R17"/>
    <s v="PALF"/>
    <x v="0"/>
    <s v="Congo"/>
    <x v="0"/>
    <x v="0"/>
    <m/>
  </r>
  <r>
    <x v="9"/>
    <s v="Achat credit  teléphonique MTN/PALF/Deuxième partie du mois de Janvier 2025/Legal"/>
    <s v="Telephone"/>
    <s v="Legal"/>
    <x v="29"/>
    <x v="30"/>
    <n v="570.21500000000003"/>
    <s v="Merveille"/>
    <s v="CA-J-R18"/>
    <s v="PALF"/>
    <x v="0"/>
    <s v="Congo"/>
    <x v="0"/>
    <x v="0"/>
    <m/>
  </r>
  <r>
    <x v="9"/>
    <s v="Achat credit  teléphonique MTN/PALF/Deuxième partie du mois de Janvier 2025/Investigation"/>
    <s v="Telephone"/>
    <s v="Investigations"/>
    <x v="30"/>
    <x v="31"/>
    <n v="570.21500000000003"/>
    <s v="Merveille"/>
    <s v="CA-J-R19"/>
    <s v="PALF"/>
    <x v="0"/>
    <s v="Congo"/>
    <x v="0"/>
    <x v="0"/>
    <m/>
  </r>
  <r>
    <x v="9"/>
    <s v="Achat credit  teléphonique MTN/PALF/Deuxième partie du mois de Janvier 2025/Media"/>
    <s v="Telephone"/>
    <s v="Media"/>
    <x v="4"/>
    <x v="4"/>
    <n v="570.21500000000003"/>
    <s v="Merveille"/>
    <s v="CA-J-R20"/>
    <s v="PALF"/>
    <x v="0"/>
    <s v="Congo"/>
    <x v="0"/>
    <x v="0"/>
    <m/>
  </r>
  <r>
    <x v="9"/>
    <s v="Achat credit  teléphonique Airtel/PALF/Deuxième partie du mois de Janvier 2025/Legal"/>
    <s v="Telephone"/>
    <s v="Legal"/>
    <x v="4"/>
    <x v="4"/>
    <n v="570.21500000000003"/>
    <s v="Merveille"/>
    <s v="CA-J-R21"/>
    <s v="PALF"/>
    <x v="0"/>
    <s v="Congo"/>
    <x v="0"/>
    <x v="0"/>
    <m/>
  </r>
  <r>
    <x v="9"/>
    <s v="Achat credit  teléphonique Airtel/PALF/Deuxième partie du mois de Janvier 2025/Investigation"/>
    <s v="Telephone"/>
    <s v="Investigations"/>
    <x v="31"/>
    <x v="32"/>
    <n v="570.21500000000003"/>
    <s v="Merveille"/>
    <s v="CA-J-R22"/>
    <s v="PALF"/>
    <x v="0"/>
    <s v="Congo"/>
    <x v="0"/>
    <x v="0"/>
    <m/>
  </r>
  <r>
    <x v="9"/>
    <s v="Location véhicule owando-oyo,extraction/après opération"/>
    <s v="Transport"/>
    <s v="Investigations"/>
    <x v="30"/>
    <x v="31"/>
    <n v="570.21500000000003"/>
    <s v="P29"/>
    <s v="P29-J-R3"/>
    <s v="PALF"/>
    <x v="0"/>
    <s v="Congo"/>
    <x v="0"/>
    <x v="0"/>
    <m/>
  </r>
  <r>
    <x v="9"/>
    <s v="T73- CONGO Frais d'hotel du 07 au 15/01/2025 (08nuitées ) à Owando"/>
    <s v="Travel Subsistence"/>
    <s v="Investigations"/>
    <x v="32"/>
    <x v="33"/>
    <n v="570.21500000000003"/>
    <s v="T73"/>
    <s v="T73-J-R2"/>
    <s v="PALF"/>
    <x v="0"/>
    <s v="Congo"/>
    <x v="0"/>
    <x v="0"/>
    <m/>
  </r>
  <r>
    <x v="9"/>
    <s v="Location  1 Taxis pour l'opération (Gendarmerie-Hotel  la Concorde:Aller-Retour)"/>
    <s v="Transport"/>
    <s v="Operations"/>
    <x v="33"/>
    <x v="34"/>
    <n v="570.21500000000003"/>
    <s v="Romain"/>
    <s v="RM-J-R2"/>
    <s v="PALF"/>
    <x v="0"/>
    <s v="Congo"/>
    <x v="0"/>
    <x v="0"/>
    <m/>
  </r>
  <r>
    <x v="9"/>
    <s v="Location  1 Taxis pour l'opération (Gendarmerie-Hotel  la Concorde:Aller-Retour)"/>
    <s v="Transport"/>
    <s v="Operations"/>
    <x v="33"/>
    <x v="34"/>
    <n v="570.21500000000003"/>
    <s v="Romain"/>
    <s v="RM-J-R3"/>
    <s v="PALF"/>
    <x v="0"/>
    <s v="Congo"/>
    <x v="0"/>
    <x v="0"/>
    <m/>
  </r>
  <r>
    <x v="9"/>
    <s v="Rafraichissement en attente opération "/>
    <s v="Travel Subsistence"/>
    <s v="Operations"/>
    <x v="34"/>
    <x v="35"/>
    <n v="570.21500000000003"/>
    <s v="Romain"/>
    <s v="RM-J-R4"/>
    <s v="PALF"/>
    <x v="0"/>
    <s v="Congo"/>
    <x v="0"/>
    <x v="0"/>
    <m/>
  </r>
  <r>
    <x v="9"/>
    <s v="ABRAHAM - CONGO frais d'Hôtel (Hôtel Joela) du 09 au 15/01/2025 Owando (06Nuitées)"/>
    <s v="Travel Subsistence"/>
    <s v="Legal"/>
    <x v="35"/>
    <x v="36"/>
    <n v="570.21500000000003"/>
    <s v="Abraham"/>
    <s v="AB-J-R2"/>
    <s v="PALF"/>
    <x v="0"/>
    <s v="Congo"/>
    <x v="0"/>
    <x v="0"/>
    <m/>
  </r>
  <r>
    <x v="9"/>
    <s v="Rafraîchissement attente op"/>
    <s v="Travel Subsistence"/>
    <s v="Operations"/>
    <x v="36"/>
    <x v="37"/>
    <n v="570.21500000000003"/>
    <s v="Abraham"/>
    <s v="AB-J-R3"/>
    <s v="PALF"/>
    <x v="0"/>
    <s v="Congo"/>
    <x v="0"/>
    <x v="0"/>
    <m/>
  </r>
  <r>
    <x v="9"/>
    <s v="Achat billet Brazzaville-Dolisie/Rodelin"/>
    <s v="Transport"/>
    <s v="Legal"/>
    <x v="37"/>
    <x v="38"/>
    <n v="570.21500000000003"/>
    <s v="Roderlin"/>
    <s v="RO-J-R1"/>
    <s v="PALF"/>
    <x v="0"/>
    <s v="Congo"/>
    <x v="0"/>
    <x v="0"/>
    <m/>
  </r>
  <r>
    <x v="9"/>
    <s v="Frais de mission maitre marie Helène à dolisie du 16 au 18/01/2025"/>
    <s v="Lawyer Fees"/>
    <s v="Legal"/>
    <x v="38"/>
    <x v="39"/>
    <n v="570.21500000000003"/>
    <s v="Roderlin"/>
    <s v="CA-J-R16"/>
    <s v="PALF"/>
    <x v="0"/>
    <s v="Congo"/>
    <x v="0"/>
    <x v="0"/>
    <m/>
  </r>
  <r>
    <x v="9"/>
    <s v="Achat carburant BJ  pour OP"/>
    <s v="Transport"/>
    <s v="Operations"/>
    <x v="7"/>
    <x v="7"/>
    <n v="570.21500000000003"/>
    <s v="Donald-Roméo"/>
    <s v="DR-J-R2"/>
    <s v="PALF"/>
    <x v="0"/>
    <s v="Congo"/>
    <x v="0"/>
    <x v="0"/>
    <m/>
  </r>
  <r>
    <x v="9"/>
    <s v="Raffraichissement OP  à Owando/10  gendarmes et moi"/>
    <s v="Travel Subsistence"/>
    <s v="Operations"/>
    <x v="39"/>
    <x v="40"/>
    <n v="570.21500000000003"/>
    <s v="Donald-Roméo"/>
    <s v="DR-J-R3"/>
    <s v="PALF"/>
    <x v="0"/>
    <s v="Congo"/>
    <x v="0"/>
    <x v="0"/>
    <m/>
  </r>
  <r>
    <x v="9"/>
    <s v="Rafraichissement de mon équipe lors de l'opération"/>
    <s v="Travel Subsistence"/>
    <s v="Operations"/>
    <x v="40"/>
    <x v="41"/>
    <n v="570.21500000000003"/>
    <s v="Evariste"/>
    <s v="EV-J-R2"/>
    <s v="PALF"/>
    <x v="0"/>
    <s v="Congo"/>
    <x v="0"/>
    <x v="0"/>
    <m/>
  </r>
  <r>
    <x v="10"/>
    <s v="Bonus pour 16 gendarmes ayant participé à l'opération du 15 Janvier 2025 à Owando"/>
    <s v="Bonus"/>
    <s v="Operations"/>
    <x v="18"/>
    <x v="18"/>
    <n v="570.21500000000003"/>
    <s v="Crépin"/>
    <s v="CR-J-R4"/>
    <s v="PALF"/>
    <x v="0"/>
    <s v="Congo"/>
    <x v="0"/>
    <x v="0"/>
    <m/>
  </r>
  <r>
    <x v="10"/>
    <s v="Bonus pour 02 EF ayant participé à l'opération du 15 Janvier 2025 à Owando"/>
    <s v="Bonus"/>
    <s v="Operations"/>
    <x v="0"/>
    <x v="0"/>
    <n v="570.21500000000003"/>
    <s v="Crépin"/>
    <s v="CR-J-R5"/>
    <s v="PALF"/>
    <x v="0"/>
    <s v="Congo"/>
    <x v="0"/>
    <x v="0"/>
    <m/>
  </r>
  <r>
    <x v="10"/>
    <s v="Frais de transfert d'argent à Crepin,T73 et Evariste"/>
    <s v="Transfer Fees"/>
    <s v="Office"/>
    <x v="41"/>
    <x v="42"/>
    <n v="570.21500000000003"/>
    <s v="Merveille"/>
    <s v="CA-J-R23"/>
    <s v="PALF"/>
    <x v="0"/>
    <s v="Congo"/>
    <x v="0"/>
    <x v="0"/>
    <m/>
  </r>
  <r>
    <x v="10"/>
    <s v="Achat billet Oyo-Brazzaville(Océan du Nord)/Abraham"/>
    <s v="Transport"/>
    <s v="Legal"/>
    <x v="12"/>
    <x v="12"/>
    <n v="570.21500000000003"/>
    <s v="Abraham"/>
    <s v="AB-J-R4"/>
    <s v="PALF"/>
    <x v="0"/>
    <s v="Congo"/>
    <x v="0"/>
    <x v="0"/>
    <m/>
  </r>
  <r>
    <x v="10"/>
    <s v="RODERLIN-CONGO food allowance du 16 au 18/01/2025 à Dolisie (02 nuitées)"/>
    <s v="Travel Subsistence"/>
    <s v="Legal"/>
    <x v="0"/>
    <x v="0"/>
    <n v="570.21500000000003"/>
    <s v="Roderlin"/>
    <s v="RO-J-D1"/>
    <s v="PALF"/>
    <x v="0"/>
    <s v="Congo"/>
    <x v="0"/>
    <x v="0"/>
    <m/>
  </r>
  <r>
    <x v="10"/>
    <s v="Achat billet Owando-Brazzaville/Evariste"/>
    <s v="Transport"/>
    <s v="Media"/>
    <x v="12"/>
    <x v="12"/>
    <n v="570.21500000000003"/>
    <s v="Evariste"/>
    <s v="EV-J-R3"/>
    <s v="PALF"/>
    <x v="0"/>
    <s v="Congo"/>
    <x v="0"/>
    <x v="0"/>
    <m/>
  </r>
  <r>
    <x v="11"/>
    <s v="Frais de transfert d'argent à Donald-Roméo et Romain"/>
    <s v="Transfer Fees"/>
    <s v="Office"/>
    <x v="42"/>
    <x v="43"/>
    <n v="570.21500000000003"/>
    <s v="Merveille"/>
    <s v="CA-J-R24"/>
    <s v="PALF"/>
    <x v="0"/>
    <s v="Congo"/>
    <x v="0"/>
    <x v="0"/>
    <m/>
  </r>
  <r>
    <x v="11"/>
    <s v="Frais de mission maitre Alain BANZOUZI du 19 au 22/01/2025 à Owando"/>
    <s v="Lawyer Fees"/>
    <s v="Legal"/>
    <x v="43"/>
    <x v="44"/>
    <n v="570.21500000000003"/>
    <s v="Merveille"/>
    <s v="CA-J-R25"/>
    <s v="PALF"/>
    <x v="0"/>
    <s v="Congo"/>
    <x v="0"/>
    <x v="0"/>
    <m/>
  </r>
  <r>
    <x v="11"/>
    <s v="P29 - Frais d'hotel du 13 au 17/01/2025  lieu op à owando(pour P29)/04 Nuitées"/>
    <s v="Travel Subsistence"/>
    <s v="Investigations"/>
    <x v="13"/>
    <x v="13"/>
    <n v="570.21500000000003"/>
    <s v="P29"/>
    <s v="P29-J-R4"/>
    <s v="PALF"/>
    <x v="0"/>
    <s v="Congo"/>
    <x v="0"/>
    <x v="0"/>
    <m/>
  </r>
  <r>
    <x v="11"/>
    <s v="P29 - Frais d'hotel du 13 au 17/01/2025  lieu op à owando(Pour Crépin)/04 Nuitées"/>
    <s v="Travel Subsistence"/>
    <s v="Investigations"/>
    <x v="13"/>
    <x v="13"/>
    <n v="570.21500000000003"/>
    <s v="P29"/>
    <s v="P29-J-R5"/>
    <s v="PALF"/>
    <x v="0"/>
    <s v="Congo"/>
    <x v="0"/>
    <x v="0"/>
    <m/>
  </r>
  <r>
    <x v="11"/>
    <s v="Achat billet oyo-brazzaville/P29"/>
    <s v="Transport"/>
    <s v="Investigations"/>
    <x v="12"/>
    <x v="12"/>
    <n v="570.21500000000003"/>
    <s v="P29"/>
    <s v="P29-J-R6"/>
    <s v="PALF"/>
    <x v="0"/>
    <s v="Congo"/>
    <x v="0"/>
    <x v="0"/>
    <m/>
  </r>
  <r>
    <x v="11"/>
    <s v="P29 - CONGO Frais d'hotel du 15 au 17/01/2025  à oyo ( 02 Nuitées)"/>
    <s v="Travel Subsistence"/>
    <s v="Investigations"/>
    <x v="44"/>
    <x v="45"/>
    <n v="570.21500000000003"/>
    <s v="P29"/>
    <s v="P29-J-R7"/>
    <s v="PALF"/>
    <x v="0"/>
    <s v="Congo"/>
    <x v="0"/>
    <x v="0"/>
    <m/>
  </r>
  <r>
    <x v="11"/>
    <s v="T73 - CONGO Frais d'hotel du 15 au 17/01/2025 (02nuitées ) à Oyo"/>
    <s v="Travel Subsistence"/>
    <s v="Investigations"/>
    <x v="44"/>
    <x v="45"/>
    <n v="570.21500000000003"/>
    <s v="T73"/>
    <s v="T73-J-R3"/>
    <s v="PALF"/>
    <x v="0"/>
    <s v="Congo"/>
    <x v="0"/>
    <x v="0"/>
    <m/>
  </r>
  <r>
    <x v="11"/>
    <s v="achat billet : Oyo - Brazzaville /T73"/>
    <s v="Transport"/>
    <s v="Investigations"/>
    <x v="12"/>
    <x v="12"/>
    <n v="570.21500000000003"/>
    <s v="T73"/>
    <s v="T73-J-R4"/>
    <s v="PALF"/>
    <x v="0"/>
    <s v="Congo"/>
    <x v="0"/>
    <x v="0"/>
    <m/>
  </r>
  <r>
    <x v="11"/>
    <s v="ABRAHAM - CONGO frais d'Hôtel (Hôtel Saint Benoit) du 17 au 17/01/2025 Oyo (02Nuitées)"/>
    <s v="Travel Subsistence"/>
    <s v="Legal"/>
    <x v="44"/>
    <x v="45"/>
    <n v="570.21500000000003"/>
    <s v="Abraham"/>
    <s v="AB-J-R5"/>
    <s v="PALF"/>
    <x v="0"/>
    <s v="Congo"/>
    <x v="0"/>
    <x v="0"/>
    <m/>
  </r>
  <r>
    <x v="11"/>
    <s v="Cumul frais de Jail visit du mois de Janvier 2025/Roderlin"/>
    <s v="Jail visit"/>
    <s v="Legal"/>
    <x v="45"/>
    <x v="46"/>
    <n v="570.21500000000003"/>
    <s v="Roderlin"/>
    <s v="RO-J-D2"/>
    <s v="PALF"/>
    <x v="0"/>
    <s v="Congo"/>
    <x v="0"/>
    <x v="0"/>
    <m/>
  </r>
  <r>
    <x v="11"/>
    <s v="Achat billet Dolisie -Brazzaville /Roderlin"/>
    <s v="Transport"/>
    <s v="Legal"/>
    <x v="37"/>
    <x v="38"/>
    <n v="570.21500000000003"/>
    <s v="Roderlin"/>
    <s v="RO-J-R2"/>
    <s v="PALF"/>
    <x v="0"/>
    <s v="Congo"/>
    <x v="0"/>
    <x v="0"/>
    <m/>
  </r>
  <r>
    <x v="11"/>
    <s v="EVARISTE - CONGO Frais d'hôtel du 10 au 17 janvier 2025 (7 nuitées) à Owando"/>
    <s v="Travel Subsistence"/>
    <s v="Media"/>
    <x v="46"/>
    <x v="47"/>
    <n v="570.21500000000003"/>
    <s v="Evariste"/>
    <s v="EV-J-R4"/>
    <s v="PALF"/>
    <x v="0"/>
    <s v="Congo"/>
    <x v="0"/>
    <x v="0"/>
    <m/>
  </r>
  <r>
    <x v="11"/>
    <s v="RAPATRIEME01100 RAO00010730"/>
    <s v="Grant"/>
    <m/>
    <x v="47"/>
    <x v="48"/>
    <n v="596.1932333333333"/>
    <s v="BCI"/>
    <s v="BQ-J-G1"/>
    <s v="PALF"/>
    <x v="0"/>
    <s v="Congo"/>
    <x v="1"/>
    <x v="1"/>
    <m/>
  </r>
  <r>
    <x v="12"/>
    <s v="RODERLIN-CONGO frais d'hôtel du 16 au 18/01/2025 à DOLISIE (02 nuitées)"/>
    <s v="Travel Subsistence"/>
    <s v="Legal"/>
    <x v="44"/>
    <x v="49"/>
    <n v="596.19299999999998"/>
    <s v="Roderlin"/>
    <s v="RO-J-R3"/>
    <s v="PALF"/>
    <x v="0"/>
    <s v="Congo"/>
    <x v="0"/>
    <x v="0"/>
    <m/>
  </r>
  <r>
    <x v="13"/>
    <s v="Achat billet Owando-Brazzaville/Donald-Roméo"/>
    <s v="Transport"/>
    <s v="Legal"/>
    <x v="12"/>
    <x v="12"/>
    <n v="570.21500000000003"/>
    <s v="Donald-Roméo"/>
    <s v="DR-J-R4"/>
    <s v="PALF"/>
    <x v="0"/>
    <s v="Congo"/>
    <x v="0"/>
    <x v="0"/>
    <m/>
  </r>
  <r>
    <x v="13"/>
    <s v="DONALD-ROMEO - CONGO Frais d'hôtel du 09 au 19/01/2025 à  Owando (Hôtel  Joella)/ 10 Nuitées"/>
    <s v="Travel Subsistence"/>
    <s v="Legal"/>
    <x v="11"/>
    <x v="11"/>
    <n v="596.19299999999998"/>
    <s v="Donald-Roméo"/>
    <s v="DR-J-R5"/>
    <s v="PALF"/>
    <x v="0"/>
    <s v="Congo"/>
    <x v="0"/>
    <x v="0"/>
    <m/>
  </r>
  <r>
    <x v="13"/>
    <s v="Cumul frais de transport local du mois de Janvier 2025/Donald-Roméo"/>
    <s v="Transport"/>
    <s v="Legal"/>
    <x v="48"/>
    <x v="50"/>
    <n v="596.19299999999998"/>
    <s v="Donald-Roméo"/>
    <s v="DR-J-D2"/>
    <s v="PALF"/>
    <x v="0"/>
    <s v="Congo"/>
    <x v="0"/>
    <x v="0"/>
    <m/>
  </r>
  <r>
    <x v="14"/>
    <s v="Achat encre 216A et registre"/>
    <s v="Office Materials"/>
    <s v="Office"/>
    <x v="49"/>
    <x v="51"/>
    <n v="596.19299999999998"/>
    <s v="Merveille"/>
    <s v="CA-J-R26"/>
    <s v="PALF"/>
    <x v="0"/>
    <s v="Congo"/>
    <x v="0"/>
    <x v="0"/>
    <m/>
  </r>
  <r>
    <x v="14"/>
    <s v="Prestation de nettoyage Jardin PALF mois de Janvier 2025"/>
    <s v="Services"/>
    <s v="Office"/>
    <x v="0"/>
    <x v="52"/>
    <n v="596.19299999999998"/>
    <s v="Merveille"/>
    <s v="CA-J-R27"/>
    <s v="PALF"/>
    <x v="0"/>
    <s v="Congo"/>
    <x v="0"/>
    <x v="0"/>
    <m/>
  </r>
  <r>
    <x v="15"/>
    <s v="achat billet : Brazzaville - dolisie/T73"/>
    <s v="Transport"/>
    <s v="Investigations"/>
    <x v="12"/>
    <x v="53"/>
    <n v="596.19299999999998"/>
    <s v="T73"/>
    <s v="T73-J-R5"/>
    <s v="PALF"/>
    <x v="0"/>
    <s v="Congo"/>
    <x v="0"/>
    <x v="0"/>
    <m/>
  </r>
  <r>
    <x v="15"/>
    <s v="Achat carte sim pour T73"/>
    <s v="Investigation materials"/>
    <s v="Investigations"/>
    <x v="4"/>
    <x v="4"/>
    <n v="570.21500000000003"/>
    <s v="T73"/>
    <s v="T73-J-R16"/>
    <s v="PALF"/>
    <x v="0"/>
    <s v="Congo"/>
    <x v="0"/>
    <x v="0"/>
    <m/>
  </r>
  <r>
    <x v="15"/>
    <s v="Impréssion de la procédure de la Gendaremrie"/>
    <s v="Office Materials"/>
    <s v="Operations"/>
    <x v="50"/>
    <x v="54"/>
    <n v="570.21500000000003"/>
    <s v="Romain"/>
    <s v="RM-J-R5"/>
    <s v="PALF"/>
    <x v="0"/>
    <s v="Congo"/>
    <x v="0"/>
    <x v="0"/>
    <m/>
  </r>
  <r>
    <x v="15"/>
    <s v="Cumul frais de jail visit du mois de Janvier 2025/Romain"/>
    <s v="Jail visit"/>
    <s v="Legal"/>
    <x v="51"/>
    <x v="55"/>
    <n v="596.19299999999998"/>
    <s v="Romain"/>
    <s v="RM-J-D2"/>
    <s v="PALF"/>
    <x v="0"/>
    <s v="Congo"/>
    <x v="0"/>
    <x v="0"/>
    <m/>
  </r>
  <r>
    <x v="15"/>
    <s v="Bonus media portant sur l'operation du 15/01/2025"/>
    <s v="Bonus to media officer"/>
    <s v="Media"/>
    <x v="52"/>
    <x v="56"/>
    <n v="596.19299999999998"/>
    <s v="Evariste"/>
    <s v="CA-J-D1"/>
    <s v="PALF"/>
    <x v="0"/>
    <s v="Congo"/>
    <x v="0"/>
    <x v="0"/>
    <m/>
  </r>
  <r>
    <x v="16"/>
    <s v="IT87 - CONGO Food Allowance mission du 22 au 30/01/2025 à Mouyondzi, Kolo, Bouansa et Madingou/(08 Nuitées)"/>
    <s v="Travel Subsistence"/>
    <s v="Investigations"/>
    <x v="17"/>
    <x v="57"/>
    <n v="596.19299999999998"/>
    <s v="IT87"/>
    <s v="IT87-J-D1"/>
    <s v="PALF"/>
    <x v="0"/>
    <s v="Congo"/>
    <x v="0"/>
    <x v="0"/>
    <m/>
  </r>
  <r>
    <x v="16"/>
    <s v="Achat billet Brazzaville - Mouyondzi/ IT87"/>
    <s v="Transport"/>
    <s v="Investigations"/>
    <x v="12"/>
    <x v="53"/>
    <n v="596.19299999999998"/>
    <s v="IT87"/>
    <s v="IT87-J-R1"/>
    <s v="PALF"/>
    <x v="0"/>
    <s v="Congo"/>
    <x v="0"/>
    <x v="0"/>
    <m/>
  </r>
  <r>
    <x v="16"/>
    <s v="Achat billet brazzaville-dolisie/P29"/>
    <s v="Transport"/>
    <s v="Investigations"/>
    <x v="12"/>
    <x v="53"/>
    <n v="596.19299999999998"/>
    <s v="P29"/>
    <s v="P29-J-R8"/>
    <s v="PALF"/>
    <x v="0"/>
    <s v="Congo"/>
    <x v="0"/>
    <x v="0"/>
    <m/>
  </r>
  <r>
    <x v="16"/>
    <s v="P29 - CONGO Foodallowance mission du 22 au 30/01/2025 à Dolisie,Kimongo,Louvakou et ditadi (08 Nuitées)"/>
    <s v="Travel Subsistence"/>
    <s v="Investigations"/>
    <x v="17"/>
    <x v="57"/>
    <n v="596.19299999999998"/>
    <s v="P29"/>
    <s v="P29-J-D2"/>
    <s v="PALF"/>
    <x v="0"/>
    <s v="Congo"/>
    <x v="0"/>
    <x v="0"/>
    <m/>
  </r>
  <r>
    <x v="16"/>
    <s v="T73 - CONGO Food Allowance du 22 au 30/01/2025 (08nuitées) à Dolisie,Kibangou,Mbanda et Passi passi"/>
    <s v="Travel Subsistence"/>
    <s v="Investigations"/>
    <x v="17"/>
    <x v="57"/>
    <n v="596.19299999999998"/>
    <s v="T73"/>
    <s v="T73-J-D2"/>
    <s v="PALF"/>
    <x v="0"/>
    <s v="Congo"/>
    <x v="0"/>
    <x v="0"/>
    <m/>
  </r>
  <r>
    <x v="16"/>
    <s v="Achat billet: Brazzaville - dolisie / G12"/>
    <s v="Transport"/>
    <s v="Investigations"/>
    <x v="12"/>
    <x v="53"/>
    <n v="596.19299999999998"/>
    <s v="G12"/>
    <s v="G12-J-R1"/>
    <s v="PALF"/>
    <x v="0"/>
    <s v="Congo"/>
    <x v="0"/>
    <x v="0"/>
    <m/>
  </r>
  <r>
    <x v="16"/>
    <s v="G12 - CONGO Food Allowance du 22  au 30 /01/2025 (08nuitées)"/>
    <s v="Travel Subsistence"/>
    <s v="Investigations"/>
    <x v="17"/>
    <x v="57"/>
    <n v="596.19299999999998"/>
    <s v="G12"/>
    <s v="G12-J-D1"/>
    <s v="PALF"/>
    <x v="0"/>
    <s v="Congo"/>
    <x v="0"/>
    <x v="0"/>
    <m/>
  </r>
  <r>
    <x v="16"/>
    <s v="Cumul frais de transport local du mois de Janvier 2025/Abraham"/>
    <s v="Transport"/>
    <s v="Legal"/>
    <x v="53"/>
    <x v="58"/>
    <n v="596.19299999999998"/>
    <s v="Abraham"/>
    <s v="AB-J-D2"/>
    <s v="PALF"/>
    <x v="0"/>
    <s v="Congo"/>
    <x v="0"/>
    <x v="0"/>
    <m/>
  </r>
  <r>
    <x v="16"/>
    <s v="Frais de transfert d'argent à Romain "/>
    <s v="Transfer Fees"/>
    <s v="Office"/>
    <x v="54"/>
    <x v="59"/>
    <n v="596.19299999999998"/>
    <s v="Abraham"/>
    <s v="CA-J-R28"/>
    <s v="PALF"/>
    <x v="0"/>
    <s v="Congo"/>
    <x v="0"/>
    <x v="0"/>
    <m/>
  </r>
  <r>
    <x v="16"/>
    <s v="Recharge bouteille de gaz de 12KG/Bureau PALF"/>
    <s v="Office Materials"/>
    <s v="Office"/>
    <x v="55"/>
    <x v="60"/>
    <n v="596.19299999999998"/>
    <s v="Roderlin"/>
    <s v="CA-J-R29"/>
    <s v="PALF"/>
    <x v="0"/>
    <s v="Congo"/>
    <x v="0"/>
    <x v="0"/>
    <m/>
  </r>
  <r>
    <x v="17"/>
    <s v="Frais de notification contrat Roderlin et Abraham"/>
    <s v="Personnel"/>
    <s v="Legal"/>
    <x v="1"/>
    <x v="61"/>
    <n v="596.19299999999998"/>
    <s v="Merveille"/>
    <s v="CA-J-R31"/>
    <s v="PALF"/>
    <x v="0"/>
    <s v="Congo"/>
    <x v="0"/>
    <x v="0"/>
    <m/>
  </r>
  <r>
    <x v="17"/>
    <s v="Frais de transfert d'argent à T73,P29,IT87 et G12"/>
    <s v="Transfer Fees"/>
    <s v="Office"/>
    <x v="56"/>
    <x v="62"/>
    <n v="596.19299999999998"/>
    <s v="Roderlin"/>
    <s v="CA-J-R30"/>
    <s v="PALF"/>
    <x v="0"/>
    <s v="Congo"/>
    <x v="0"/>
    <x v="0"/>
    <m/>
  </r>
  <r>
    <x v="17"/>
    <s v="Paiement salaire du mois de Janvier 2025"/>
    <s v="Personnel"/>
    <s v="Management"/>
    <x v="57"/>
    <x v="63"/>
    <n v="596.19299999999998"/>
    <s v="BCI"/>
    <s v="BQ-J-R4"/>
    <s v="PALF"/>
    <x v="0"/>
    <s v="Congo"/>
    <x v="0"/>
    <x v="0"/>
    <m/>
  </r>
  <r>
    <x v="17"/>
    <s v="Paiement salaire du mois de Janvier 2025/Loundou Jean Romain"/>
    <s v="Personnel"/>
    <s v="Legal"/>
    <x v="58"/>
    <x v="64"/>
    <n v="596.19299999999998"/>
    <s v="BCI"/>
    <s v="BQ-J-R5"/>
    <s v="PALF"/>
    <x v="0"/>
    <s v="Congo"/>
    <x v="0"/>
    <x v="0"/>
    <m/>
  </r>
  <r>
    <x v="17"/>
    <s v="Paiement salaire du mois de Janvier 2025/Crepin IBOUILI IBOUILI"/>
    <s v="Personnel"/>
    <s v="Office"/>
    <x v="59"/>
    <x v="65"/>
    <n v="596.19299999999998"/>
    <s v="BCI"/>
    <s v="BQ-J-R6"/>
    <s v="PALF"/>
    <x v="0"/>
    <s v="Congo"/>
    <x v="0"/>
    <x v="0"/>
    <m/>
  </r>
  <r>
    <x v="17"/>
    <s v="Paiement salaire du mois de Janvier 2025/Merveille MAHANGA"/>
    <s v="Personnel"/>
    <s v="Legal"/>
    <x v="60"/>
    <x v="66"/>
    <n v="596.19299999999998"/>
    <s v="BCI"/>
    <s v="BQ-J-R7"/>
    <s v="PALF"/>
    <x v="0"/>
    <s v="Congo"/>
    <x v="0"/>
    <x v="0"/>
    <m/>
  </r>
  <r>
    <x v="17"/>
    <s v="Paiement salaire du mois de Janvier 2025 et congé/PINDI BINGA Donald-Roméo"/>
    <s v="Personnel"/>
    <s v="Legal"/>
    <x v="61"/>
    <x v="67"/>
    <n v="596.19299999999998"/>
    <s v="BCI"/>
    <s v="BQ-J-R8"/>
    <s v="PALF"/>
    <x v="0"/>
    <s v="Congo"/>
    <x v="0"/>
    <x v="0"/>
    <m/>
  </r>
  <r>
    <x v="17"/>
    <s v="Paiement salaire du mois de Janvier 2025/BOUNGOU Abraham"/>
    <s v="Personnel"/>
    <s v="Legal"/>
    <x v="58"/>
    <x v="64"/>
    <n v="596.19299999999998"/>
    <s v="BCI"/>
    <s v="BQ-J-R9"/>
    <s v="PALF"/>
    <x v="0"/>
    <s v="Congo"/>
    <x v="0"/>
    <x v="0"/>
    <m/>
  </r>
  <r>
    <x v="17"/>
    <s v="Paiement salaire du mois de Janvier 2025/FOUMBA Roderlin"/>
    <s v="Personnel"/>
    <s v="Legal"/>
    <x v="58"/>
    <x v="64"/>
    <n v="596.19299999999998"/>
    <s v="BCI"/>
    <s v="BQ-J-R10"/>
    <s v="PALF"/>
    <x v="0"/>
    <s v="Congo"/>
    <x v="0"/>
    <x v="0"/>
    <m/>
  </r>
  <r>
    <x v="17"/>
    <s v="Paiement salaire du mois de Janvier 2025/Evariste LELOUSSI"/>
    <s v="Personnel"/>
    <s v="Media"/>
    <x v="62"/>
    <x v="68"/>
    <n v="596.19299999999998"/>
    <s v="BCI"/>
    <s v="BQ-J-R11"/>
    <s v="PALF"/>
    <x v="0"/>
    <s v="Congo"/>
    <x v="0"/>
    <x v="0"/>
    <m/>
  </r>
  <r>
    <x v="18"/>
    <s v="Billet: Owando-Brazzaville/Crepin"/>
    <s v="Transport"/>
    <s v="Legal"/>
    <x v="12"/>
    <x v="53"/>
    <n v="596.19299999999998"/>
    <s v="Crépin"/>
    <s v="CR-J-R6"/>
    <s v="PALF"/>
    <x v="0"/>
    <s v="Congo"/>
    <x v="0"/>
    <x v="0"/>
    <m/>
  </r>
  <r>
    <x v="18"/>
    <s v="Taxi : Mouyondzi - Village Kolo/ vérification de l'animal avec la cible"/>
    <s v="Transport"/>
    <s v="Investigations"/>
    <x v="31"/>
    <x v="69"/>
    <n v="596.19299999999998"/>
    <s v="IT87"/>
    <s v="IT87-J-R2"/>
    <s v="PALF"/>
    <x v="0"/>
    <s v="Congo"/>
    <x v="0"/>
    <x v="0"/>
    <m/>
  </r>
  <r>
    <x v="18"/>
    <s v="Taxi : Village Kolo - Mouyondzi/ Retour de la vérification avec la cible"/>
    <s v="Transport"/>
    <s v="Investigations"/>
    <x v="31"/>
    <x v="69"/>
    <n v="596.19299999999998"/>
    <s v="IT87"/>
    <s v="IT87-J-R3"/>
    <s v="PALF"/>
    <x v="0"/>
    <s v="Congo"/>
    <x v="0"/>
    <x v="0"/>
    <m/>
  </r>
  <r>
    <x v="18"/>
    <s v="P29 - CONGO Frais d'hotel du 22 au 24/01/2025 à Dolisie (02 Nuitées)"/>
    <s v="Travel Subsistence"/>
    <s v="Investigations"/>
    <x v="44"/>
    <x v="49"/>
    <n v="596.19299999999998"/>
    <s v="P29"/>
    <s v="P29-J-R9"/>
    <s v="PALF"/>
    <x v="0"/>
    <s v="Congo"/>
    <x v="0"/>
    <x v="0"/>
    <m/>
  </r>
  <r>
    <x v="18"/>
    <s v="Achat billet Dolisie-kimongo/P29"/>
    <s v="Transport"/>
    <s v="Investigations"/>
    <x v="63"/>
    <x v="70"/>
    <n v="596.19299999999998"/>
    <s v="P29"/>
    <s v="P29-J-R10"/>
    <s v="PALF"/>
    <x v="0"/>
    <s v="Congo"/>
    <x v="0"/>
    <x v="0"/>
    <m/>
  </r>
  <r>
    <x v="18"/>
    <s v="T73 - CONGO Frais d'hotel du 22 au 24/01/2025 (02nuitées ) à Dolisie"/>
    <s v="Travel Subsistence"/>
    <s v="Investigations"/>
    <x v="44"/>
    <x v="49"/>
    <n v="596.19299999999998"/>
    <s v="T73"/>
    <s v="T73-J-R6"/>
    <s v="PALF"/>
    <x v="0"/>
    <s v="Congo"/>
    <x v="0"/>
    <x v="0"/>
    <m/>
  </r>
  <r>
    <x v="18"/>
    <s v="Achat billet: dolisie - Mbanda/T73"/>
    <s v="Transport"/>
    <s v="Investigations"/>
    <x v="64"/>
    <x v="71"/>
    <n v="596.19299999999998"/>
    <s v="T73"/>
    <s v="T73-J-R7"/>
    <s v="PALF"/>
    <x v="0"/>
    <s v="Congo"/>
    <x v="0"/>
    <x v="0"/>
    <m/>
  </r>
  <r>
    <x v="18"/>
    <s v=" G12 - CONGO frais d'hotel du 22au 24 /01/2025 à Dolisie ( 2 nuitées)"/>
    <s v="Travel Subsistence"/>
    <s v="Investigations"/>
    <x v="44"/>
    <x v="49"/>
    <n v="596.19299999999998"/>
    <s v="G12"/>
    <s v="G12-J-R2"/>
    <s v="PALF"/>
    <x v="0"/>
    <s v="Congo"/>
    <x v="0"/>
    <x v="0"/>
    <m/>
  </r>
  <r>
    <x v="18"/>
    <s v="Achat billet : Dolisie - mossendjo/G12"/>
    <s v="Transport"/>
    <s v="Investigations"/>
    <x v="37"/>
    <x v="72"/>
    <n v="596.19299999999998"/>
    <s v="G12"/>
    <s v="G12-J-R3"/>
    <s v="PALF"/>
    <x v="0"/>
    <s v="Congo"/>
    <x v="0"/>
    <x v="0"/>
    <m/>
  </r>
  <r>
    <x v="18"/>
    <s v="Achat de Billet Owando-Brazzaville/Romain"/>
    <s v="Transport"/>
    <s v="Legal"/>
    <x v="12"/>
    <x v="53"/>
    <n v="596.19299999999998"/>
    <s v="Romain"/>
    <s v="RM-J-R5"/>
    <s v="PALF"/>
    <x v="0"/>
    <s v="Congo"/>
    <x v="0"/>
    <x v="0"/>
    <m/>
  </r>
  <r>
    <x v="19"/>
    <s v="CREPIN IBOUILI  - CONGO Frais d'hôtel à Owando du 15 au 25/01/2025/10 Nuitées"/>
    <s v="Travel Subsistence"/>
    <s v="Legal"/>
    <x v="11"/>
    <x v="11"/>
    <n v="596.19299999999998"/>
    <s v="Crépin"/>
    <s v="CR-J-R7"/>
    <s v="PALF"/>
    <x v="0"/>
    <s v="Congo"/>
    <x v="0"/>
    <x v="0"/>
    <m/>
  </r>
  <r>
    <x v="19"/>
    <s v="Cumul frais de transport local du mois de Janvier 2025/Crepin"/>
    <s v="Transport"/>
    <s v="Legal"/>
    <x v="65"/>
    <x v="73"/>
    <n v="596.19299999999998"/>
    <s v="Crépin"/>
    <s v="CR-J-D2"/>
    <s v="PALF"/>
    <x v="0"/>
    <s v="Congo"/>
    <x v="0"/>
    <x v="0"/>
    <m/>
  </r>
  <r>
    <x v="19"/>
    <s v="ROMAIN - CONGO Frais d'hôtel de la mission du 09 au 25/2025 à Owando(16 nuitées)"/>
    <s v="Travel Subsistence"/>
    <s v="Legal"/>
    <x v="66"/>
    <x v="74"/>
    <n v="596.19299999999998"/>
    <s v="Romain"/>
    <s v="RM-J-R7"/>
    <s v="PALF"/>
    <x v="0"/>
    <s v="Congo"/>
    <x v="0"/>
    <x v="0"/>
    <m/>
  </r>
  <r>
    <x v="20"/>
    <s v="IT87 - CONGO Frais d'hôtel DZA-MATSAKA du 22 au 26/01/2025 à Mouyondzi (04 nuitées)"/>
    <s v="Travel Subsistence"/>
    <s v="Investigations"/>
    <x v="23"/>
    <x v="75"/>
    <n v="596.19299999999998"/>
    <s v="IT87"/>
    <s v="IT87-J-R4"/>
    <s v="PALF"/>
    <x v="0"/>
    <s v="Congo"/>
    <x v="0"/>
    <x v="0"/>
    <m/>
  </r>
  <r>
    <x v="20"/>
    <s v="Achat billet Mouyondzi - Bouansa/ IT87"/>
    <s v="Transport"/>
    <s v="Investigations"/>
    <x v="67"/>
    <x v="76"/>
    <n v="596.19299999999998"/>
    <s v="IT87"/>
    <s v="IT87-J-R5"/>
    <s v="PALF"/>
    <x v="0"/>
    <s v="Congo"/>
    <x v="0"/>
    <x v="0"/>
    <m/>
  </r>
  <r>
    <x v="20"/>
    <s v="P29 - CONGO Frais d'hotel du 24 au 26/01/2025 à kimongo ( 02 Nuitées)"/>
    <s v="Travel Subsistence"/>
    <s v="Investigations"/>
    <x v="44"/>
    <x v="49"/>
    <n v="596.19299999999998"/>
    <s v="P29"/>
    <s v="P29-J-R11"/>
    <s v="PALF"/>
    <x v="0"/>
    <s v="Congo"/>
    <x v="0"/>
    <x v="0"/>
    <m/>
  </r>
  <r>
    <x v="20"/>
    <s v="Achat billet kimongo-dolisie/P29"/>
    <s v="Transport"/>
    <s v="Investigations"/>
    <x v="63"/>
    <x v="70"/>
    <n v="596.19299999999998"/>
    <s v="P29"/>
    <s v="P29-J-R12"/>
    <s v="PALF"/>
    <x v="0"/>
    <s v="Congo"/>
    <x v="0"/>
    <x v="0"/>
    <m/>
  </r>
  <r>
    <x v="20"/>
    <s v="Achat billet dolisie-louvakou/P29"/>
    <s v="Transport"/>
    <s v="Investigations"/>
    <x v="31"/>
    <x v="69"/>
    <n v="596.19299999999998"/>
    <s v="P29"/>
    <s v="P29-J-R13"/>
    <s v="PALF"/>
    <x v="0"/>
    <s v="Congo"/>
    <x v="0"/>
    <x v="0"/>
    <m/>
  </r>
  <r>
    <x v="20"/>
    <s v="T73 - CONGO Frais d'hotel du 24 au 26/01/2025 (02nuitées ) à MBanda"/>
    <s v="Travel Subsistence"/>
    <s v="Investigations"/>
    <x v="44"/>
    <x v="49"/>
    <n v="596.19299999999998"/>
    <s v="T73"/>
    <s v="T73-J-R8"/>
    <s v="PALF"/>
    <x v="0"/>
    <s v="Congo"/>
    <x v="0"/>
    <x v="0"/>
    <m/>
  </r>
  <r>
    <x v="20"/>
    <s v="achat billet : MBanda - kibangou/T73"/>
    <s v="Transport"/>
    <s v="Investigations"/>
    <x v="12"/>
    <x v="53"/>
    <n v="596.19299999999998"/>
    <s v="T73"/>
    <s v="T73-J-R9"/>
    <s v="PALF"/>
    <x v="0"/>
    <s v="Congo"/>
    <x v="0"/>
    <x v="0"/>
    <m/>
  </r>
  <r>
    <x v="20"/>
    <s v="G12 congo frais d'hotel du 24 au 26/01/2025   à mossendjo(2nuitées)"/>
    <s v="Travel Subsistence"/>
    <s v="Investigations"/>
    <x v="44"/>
    <x v="49"/>
    <n v="596.19299999999998"/>
    <s v="G12"/>
    <s v="G12-J-R4"/>
    <s v="PALF"/>
    <x v="0"/>
    <s v="Congo"/>
    <x v="0"/>
    <x v="0"/>
    <m/>
  </r>
  <r>
    <x v="20"/>
    <s v="Achat billet :Mossendjo makabana/G12"/>
    <s v="Transport"/>
    <s v="Investigations"/>
    <x v="31"/>
    <x v="69"/>
    <n v="596.19299999999998"/>
    <s v="G12"/>
    <s v="G12-J-R5"/>
    <s v="PALF"/>
    <x v="0"/>
    <s v="Congo"/>
    <x v="0"/>
    <x v="0"/>
    <m/>
  </r>
  <r>
    <x v="21"/>
    <s v="Prime de fin d'année Donald-Roméo"/>
    <s v="Personnel"/>
    <s v="Legal"/>
    <x v="68"/>
    <x v="77"/>
    <n v="596.19299999999998"/>
    <s v="Merveille"/>
    <s v="CA-J-D2"/>
    <s v="PALF"/>
    <x v="0"/>
    <s v="Congo"/>
    <x v="0"/>
    <x v="0"/>
    <m/>
  </r>
  <r>
    <x v="21"/>
    <s v="Cumul frais de trust building du mois de Janvier 2025/IT87"/>
    <s v="Trust Building"/>
    <s v="Investigations"/>
    <x v="69"/>
    <x v="78"/>
    <n v="570.21500000000003"/>
    <s v="IT87"/>
    <s v="IT87-J-D2"/>
    <s v="PALF"/>
    <x v="0"/>
    <s v="Congo"/>
    <x v="0"/>
    <x v="0"/>
    <m/>
  </r>
  <r>
    <x v="21"/>
    <s v="Cumul frais de trust building du mois de Janvier 2025/G12"/>
    <s v="Trust Building"/>
    <s v="Investigations"/>
    <x v="63"/>
    <x v="79"/>
    <n v="570.21500000000003"/>
    <s v="G12"/>
    <s v="G12-J-D2"/>
    <s v="PALF"/>
    <x v="0"/>
    <s v="Congo"/>
    <x v="0"/>
    <x v="0"/>
    <m/>
  </r>
  <r>
    <x v="21"/>
    <s v="Bonus du mois de Janvier 2025/Donald-Roméo"/>
    <s v="Personnel"/>
    <s v="Legal"/>
    <x v="44"/>
    <x v="49"/>
    <n v="596.19299999999998"/>
    <s v="Donald-Roméo"/>
    <s v="CA-J-D3"/>
    <s v="PALF"/>
    <x v="0"/>
    <s v="Congo"/>
    <x v="0"/>
    <x v="0"/>
    <m/>
  </r>
  <r>
    <x v="21"/>
    <s v="Bonus Opération du 15/01/2025 à Owando"/>
    <s v="Bonus"/>
    <s v="Operations"/>
    <x v="44"/>
    <x v="45"/>
    <n v="570.21500000000003"/>
    <s v="Donald-Roméo"/>
    <s v="CA-J-D4"/>
    <s v="PALF"/>
    <x v="0"/>
    <s v="Congo"/>
    <x v="0"/>
    <x v="0"/>
    <m/>
  </r>
  <r>
    <x v="22"/>
    <s v="Paiement retraite Coordinateur periode Octobre,Novembre et Decembre 2024"/>
    <s v="Personnel"/>
    <s v="Management"/>
    <x v="11"/>
    <x v="11"/>
    <n v="596.19299999999998"/>
    <s v="DOVI"/>
    <s v="CA-J-R33"/>
    <s v="PALF"/>
    <x v="0"/>
    <s v="Congo"/>
    <x v="0"/>
    <x v="0"/>
    <m/>
  </r>
  <r>
    <x v="22"/>
    <s v="IT87 - CONGO Frais d'hôtel le Point de Repère du 26 au 28/01/2025 à Bouansa (02 Nuitées)"/>
    <s v="Travel Subsistence"/>
    <s v="Investigations"/>
    <x v="44"/>
    <x v="49"/>
    <n v="596.19299999999998"/>
    <s v="IT87"/>
    <s v="IT87-J-R6"/>
    <s v="PALF"/>
    <x v="0"/>
    <s v="Congo"/>
    <x v="0"/>
    <x v="0"/>
    <m/>
  </r>
  <r>
    <x v="22"/>
    <s v="Achat billet Bouansa - Madingou/ IT87"/>
    <s v="Transport"/>
    <s v="Investigations"/>
    <x v="70"/>
    <x v="80"/>
    <n v="596.19299999999998"/>
    <s v="IT87"/>
    <s v="IT87-J-R7"/>
    <s v="PALF"/>
    <x v="0"/>
    <s v="Congo"/>
    <x v="0"/>
    <x v="0"/>
    <m/>
  </r>
  <r>
    <x v="22"/>
    <s v="P29 - CONGO Frais d'hotel du 26 au 28/01/2025 à louvakou (02 Nuitées)"/>
    <s v="Travel Subsistence"/>
    <s v="Investigations"/>
    <x v="44"/>
    <x v="49"/>
    <n v="596.19299999999998"/>
    <s v="P29"/>
    <s v="P29-J-R14"/>
    <s v="PALF"/>
    <x v="0"/>
    <s v="Congo"/>
    <x v="0"/>
    <x v="0"/>
    <m/>
  </r>
  <r>
    <x v="22"/>
    <s v="Achat billet louvakou-ditadi/P29"/>
    <s v="Transport"/>
    <s v="Investigations"/>
    <x v="31"/>
    <x v="69"/>
    <n v="596.19299999999998"/>
    <s v="P29"/>
    <s v="P29-J-R15"/>
    <s v="PALF"/>
    <x v="0"/>
    <s v="Congo"/>
    <x v="0"/>
    <x v="0"/>
    <m/>
  </r>
  <r>
    <x v="22"/>
    <s v="T73 - CONGO Frais d'hotel du 26 au 28/01/2025 (02nuitées ) à Kibangou"/>
    <s v="Travel Subsistence"/>
    <s v="Investigations"/>
    <x v="44"/>
    <x v="49"/>
    <n v="596.19299999999998"/>
    <s v="T73"/>
    <s v="T73-J-R10"/>
    <s v="PALF"/>
    <x v="0"/>
    <s v="Congo"/>
    <x v="0"/>
    <x v="0"/>
    <m/>
  </r>
  <r>
    <x v="22"/>
    <s v="Achat billet : kibangou - Passi Passi/T73"/>
    <s v="Transport"/>
    <s v="Investigations"/>
    <x v="31"/>
    <x v="69"/>
    <n v="596.19299999999998"/>
    <s v="T73"/>
    <s v="T73-J-R11"/>
    <s v="PALF"/>
    <x v="0"/>
    <s v="Congo"/>
    <x v="0"/>
    <x v="0"/>
    <m/>
  </r>
  <r>
    <x v="22"/>
    <s v="G12 - CONGO frais d'hotel du 26 au 28 /01/2025  à makabana (2nuitées)"/>
    <s v="Travel Subsistence"/>
    <s v="Investigations"/>
    <x v="44"/>
    <x v="49"/>
    <n v="596.19299999999998"/>
    <s v="G12"/>
    <s v="G12-J-R6"/>
    <s v="PALF"/>
    <x v="0"/>
    <s v="Congo"/>
    <x v="0"/>
    <x v="0"/>
    <m/>
  </r>
  <r>
    <x v="22"/>
    <s v="Achat du billet makabana  - mila mila/G12"/>
    <s v="Transport"/>
    <s v="Investigations"/>
    <x v="31"/>
    <x v="69"/>
    <n v="596.19299999999998"/>
    <s v="G12"/>
    <s v="G12-J-R7"/>
    <s v="PALF"/>
    <x v="0"/>
    <s v="Congo"/>
    <x v="0"/>
    <x v="0"/>
    <m/>
  </r>
  <r>
    <x v="22"/>
    <s v="Achat carburant 100litre de Gazoil/Groupe electrogène PALF"/>
    <s v="Office Materials"/>
    <s v="Office"/>
    <x v="71"/>
    <x v="81"/>
    <n v="596.19299999999998"/>
    <s v="Roderlin"/>
    <s v="CA-J-R32"/>
    <s v="PALF"/>
    <x v="0"/>
    <s v="Congo"/>
    <x v="0"/>
    <x v="0"/>
    <m/>
  </r>
  <r>
    <x v="22"/>
    <s v="Frais de virement salaire Janvier 2025"/>
    <s v="Bank fees"/>
    <s v="Office"/>
    <x v="72"/>
    <x v="82"/>
    <n v="596.19299999999998"/>
    <s v="BCI"/>
    <s v="BQ-J-R12"/>
    <s v="PALF"/>
    <x v="0"/>
    <s v="Congo"/>
    <x v="0"/>
    <x v="0"/>
    <m/>
  </r>
  <r>
    <x v="23"/>
    <s v="Règlement prestation technicienne de surface (mois de Janvier 2025)"/>
    <s v="Services"/>
    <s v="Office"/>
    <x v="73"/>
    <x v="83"/>
    <n v="596.19299999999998"/>
    <s v="Merveille"/>
    <s v="CA-J-R34"/>
    <s v="PALF"/>
    <x v="0"/>
    <s v="Congo"/>
    <x v="0"/>
    <x v="0"/>
    <m/>
  </r>
  <r>
    <x v="23"/>
    <s v="P29 - CONGO Frais d'hotel du 28 au 29/01/2025 à Ditadi/ 01 Nuitée"/>
    <s v="Travel Subsistence"/>
    <s v="Investigations"/>
    <x v="64"/>
    <x v="71"/>
    <n v="596.19299999999998"/>
    <s v="P29"/>
    <s v="P29-J-R16"/>
    <s v="PALF"/>
    <x v="0"/>
    <s v="Congo"/>
    <x v="0"/>
    <x v="0"/>
    <m/>
  </r>
  <r>
    <x v="23"/>
    <s v="Achat billet ditadi-dolisie/P29"/>
    <s v="Transport"/>
    <s v="Investigations"/>
    <x v="67"/>
    <x v="76"/>
    <n v="596.19299999999998"/>
    <s v="P29"/>
    <s v="P29-J-R17"/>
    <s v="PALF"/>
    <x v="0"/>
    <s v="Congo"/>
    <x v="0"/>
    <x v="0"/>
    <m/>
  </r>
  <r>
    <x v="23"/>
    <s v="Cumul frais de trust building du mois de Janvier 2025/P29"/>
    <s v="Trust Building"/>
    <s v="Investigations"/>
    <x v="74"/>
    <x v="84"/>
    <n v="570.21500000000003"/>
    <s v="P29"/>
    <s v="P29-J-D3"/>
    <s v="PALF"/>
    <x v="0"/>
    <s v="Congo"/>
    <x v="0"/>
    <x v="0"/>
    <m/>
  </r>
  <r>
    <x v="23"/>
    <s v="Achat  billet : Passi Passi pour Dolisie/T73"/>
    <s v="Transport"/>
    <s v="Investigations"/>
    <x v="75"/>
    <x v="85"/>
    <n v="596.19299999999998"/>
    <s v="T73"/>
    <s v="T73-J-R12"/>
    <s v="PALF"/>
    <x v="0"/>
    <s v="Congo"/>
    <x v="0"/>
    <x v="0"/>
    <m/>
  </r>
  <r>
    <x v="23"/>
    <s v="T73 - CONGO Frais d'hotel du 28 au 29/01/2025 (01nuitée ) à Passi Passi"/>
    <s v="Travel Subsistence"/>
    <s v="Investigations"/>
    <x v="64"/>
    <x v="71"/>
    <n v="596.19299999999998"/>
    <s v="T73"/>
    <s v="T73-J-R13"/>
    <s v="PALF"/>
    <x v="0"/>
    <s v="Congo"/>
    <x v="0"/>
    <x v="0"/>
    <m/>
  </r>
  <r>
    <x v="23"/>
    <s v="Cumul frais de trust building du mois de Janvier 2025/T73"/>
    <s v="Trust Building"/>
    <s v="Investigations"/>
    <x v="76"/>
    <x v="86"/>
    <n v="570.21500000000003"/>
    <s v="T73"/>
    <s v="T73-J-D3"/>
    <s v="PALF"/>
    <x v="0"/>
    <s v="Congo"/>
    <x v="0"/>
    <x v="0"/>
    <m/>
  </r>
  <r>
    <x v="23"/>
    <s v="G12-CONGO frais d'hotel du 28 au 29 /01/2025 à  mila mila( 1 nuitée)"/>
    <s v="Travel Subsistence"/>
    <s v="Investigations"/>
    <x v="64"/>
    <x v="71"/>
    <n v="596.19299999999998"/>
    <s v="G12"/>
    <s v="G12-J-R8"/>
    <s v="PALF"/>
    <x v="0"/>
    <s v="Congo"/>
    <x v="0"/>
    <x v="0"/>
    <m/>
  </r>
  <r>
    <x v="23"/>
    <s v="Achat du billet mila mila -dolisie/G12"/>
    <s v="Transport"/>
    <s v="Investigations"/>
    <x v="67"/>
    <x v="76"/>
    <n v="596.19299999999998"/>
    <s v="G12"/>
    <s v="G12-J-R9"/>
    <s v="PALF"/>
    <x v="0"/>
    <s v="Congo"/>
    <x v="0"/>
    <x v="0"/>
    <m/>
  </r>
  <r>
    <x v="23"/>
    <s v="G12 - CONGO frais d'hotel du 29 au 30 /01/2025 à  Dolisie( 1 nuitée)"/>
    <s v="Travel Subsistence"/>
    <s v="Investigations"/>
    <x v="64"/>
    <x v="71"/>
    <n v="596.19299999999998"/>
    <s v="G12"/>
    <s v="G12-J-R10"/>
    <s v="PALF"/>
    <x v="0"/>
    <s v="Congo"/>
    <x v="0"/>
    <x v="0"/>
    <m/>
  </r>
  <r>
    <x v="24"/>
    <s v="IT87 - CONGO Frais d'hôtel Dzongo Benoit du 28 au 30/01/2025 à Madingou (02 Nuitées)"/>
    <s v="Travel Subsistence"/>
    <s v="Investigations"/>
    <x v="44"/>
    <x v="49"/>
    <n v="596.19299999999998"/>
    <s v="IT87"/>
    <s v="IT87-J-R8"/>
    <s v="PALF"/>
    <x v="0"/>
    <s v="Congo"/>
    <x v="0"/>
    <x v="0"/>
    <m/>
  </r>
  <r>
    <x v="24"/>
    <s v="Achat billet Madingou - Brazzaville/ IT87"/>
    <s v="Transport"/>
    <s v="Investigations"/>
    <x v="12"/>
    <x v="53"/>
    <n v="596.19299999999998"/>
    <s v="IT87"/>
    <s v="IT87-J-R9"/>
    <s v="PALF"/>
    <x v="0"/>
    <s v="Congo"/>
    <x v="0"/>
    <x v="0"/>
    <m/>
  </r>
  <r>
    <x v="24"/>
    <s v="Cumul frais de transport local du mois de Janvier 2025/IT87"/>
    <s v="Transport"/>
    <s v="Investigations"/>
    <x v="77"/>
    <x v="87"/>
    <n v="596.19299999999998"/>
    <s v="IT87"/>
    <s v="IT87-J-D3"/>
    <s v="PALF"/>
    <x v="0"/>
    <s v="Congo"/>
    <x v="0"/>
    <x v="0"/>
    <m/>
  </r>
  <r>
    <x v="24"/>
    <s v="Achat billet Dolisie-Brazzaville/P29"/>
    <s v="Transport"/>
    <s v="Investigations"/>
    <x v="12"/>
    <x v="53"/>
    <n v="596.19299999999998"/>
    <s v="P29"/>
    <s v="P29-J-R18"/>
    <s v="PALF"/>
    <x v="0"/>
    <s v="Congo"/>
    <x v="0"/>
    <x v="0"/>
    <m/>
  </r>
  <r>
    <x v="24"/>
    <s v="P29 - CONGO Frais d'hotel du 29 au 30/01/2025 à Dolisie (01 Nuitée)"/>
    <s v="Travel Subsistence"/>
    <s v="Investigations"/>
    <x v="64"/>
    <x v="71"/>
    <n v="596.19299999999998"/>
    <s v="P29"/>
    <s v="P29-J-R19"/>
    <s v="PALF"/>
    <x v="0"/>
    <s v="Congo"/>
    <x v="0"/>
    <x v="0"/>
    <m/>
  </r>
  <r>
    <x v="24"/>
    <s v="Cumul frais de transport local du mois de Janvier 2025/P29"/>
    <s v="Transport"/>
    <s v="Investigations"/>
    <x v="78"/>
    <x v="88"/>
    <n v="596.19299999999998"/>
    <s v="P29"/>
    <s v="P29-J-D4"/>
    <s v="PALF"/>
    <x v="0"/>
    <s v="Congo"/>
    <x v="0"/>
    <x v="0"/>
    <m/>
  </r>
  <r>
    <x v="24"/>
    <s v="T73 - CONGO Frais d'hotel du 29 au 30/01/2025 (01nuitées ) à Dolisie"/>
    <s v="Travel Subsistence"/>
    <s v="Investigations"/>
    <x v="64"/>
    <x v="71"/>
    <n v="596.19299999999998"/>
    <s v="T73"/>
    <s v="T73-J-R14"/>
    <s v="PALF"/>
    <x v="0"/>
    <s v="Congo"/>
    <x v="0"/>
    <x v="0"/>
    <m/>
  </r>
  <r>
    <x v="24"/>
    <s v="Achat billet : Dolisie - Brazzaville/ T73"/>
    <s v="Transport"/>
    <s v="Investigations"/>
    <x v="37"/>
    <x v="72"/>
    <n v="596.19299999999998"/>
    <s v="T73"/>
    <s v="T73-J-R15"/>
    <s v="PALF"/>
    <x v="0"/>
    <s v="Congo"/>
    <x v="0"/>
    <x v="0"/>
    <m/>
  </r>
  <r>
    <x v="24"/>
    <s v="Cumul frais de transport local du mois de Janvier 2025/T73"/>
    <s v="Transport"/>
    <s v="Investigations"/>
    <x v="79"/>
    <x v="89"/>
    <n v="596.19299999999998"/>
    <s v="T73"/>
    <s v="T73-J-D4"/>
    <s v="PALF"/>
    <x v="0"/>
    <s v="Congo"/>
    <x v="0"/>
    <x v="0"/>
    <m/>
  </r>
  <r>
    <x v="24"/>
    <s v="Achat billet : Dolisie - brazzaville/G12"/>
    <s v="Transport"/>
    <s v="Investigations"/>
    <x v="37"/>
    <x v="72"/>
    <n v="596.19299999999998"/>
    <s v="G12"/>
    <s v="G12-J-R11"/>
    <s v="PALF"/>
    <x v="0"/>
    <s v="Congo"/>
    <x v="0"/>
    <x v="0"/>
    <m/>
  </r>
  <r>
    <x v="24"/>
    <s v="Cumul frais de transport local du mois Janvier 2025/G12"/>
    <s v="Transport"/>
    <s v="Investigations"/>
    <x v="80"/>
    <x v="90"/>
    <n v="596.19299999999998"/>
    <s v="G12"/>
    <s v="G12-J-D3"/>
    <s v="PALF"/>
    <x v="0"/>
    <s v="Congo"/>
    <x v="0"/>
    <x v="0"/>
    <m/>
  </r>
  <r>
    <x v="24"/>
    <s v="Cumul frais de transport local du mois de Janvier 2025/Roderlin"/>
    <s v="Transport"/>
    <s v="Legal"/>
    <x v="81"/>
    <x v="91"/>
    <n v="596.19299999999998"/>
    <s v="Roderlin"/>
    <s v="RO-J-D3"/>
    <s v="PALF"/>
    <x v="0"/>
    <s v="Congo"/>
    <x v="0"/>
    <x v="0"/>
    <m/>
  </r>
  <r>
    <x v="24"/>
    <s v="Cumul frais de transport local du mois de Janvier 2025/EVARISTE"/>
    <s v="Transport"/>
    <s v="Media"/>
    <x v="82"/>
    <x v="92"/>
    <n v="596.19299999999998"/>
    <s v="Evariste"/>
    <s v="EV-J-D2"/>
    <s v="PALF"/>
    <x v="0"/>
    <s v="Congo"/>
    <x v="0"/>
    <x v="0"/>
    <m/>
  </r>
  <r>
    <x v="24"/>
    <s v="Bonus media portant sur le bilan des interpellation de 2023 et 2024"/>
    <s v="Bonus to media officer"/>
    <s v="Media"/>
    <x v="83"/>
    <x v="93"/>
    <n v="596.19299999999998"/>
    <s v="Evariste"/>
    <s v="CA-J-D5"/>
    <s v="PALF"/>
    <x v="0"/>
    <s v="Congo"/>
    <x v="0"/>
    <x v="0"/>
    <m/>
  </r>
  <r>
    <x v="25"/>
    <s v="Cumul frais de transport local du mois de Janvier 2025/DOVI"/>
    <s v="Transport"/>
    <s v="Management"/>
    <x v="84"/>
    <x v="94"/>
    <n v="596.19299999999998"/>
    <s v="DOVI"/>
    <s v="DH-J-D1"/>
    <s v="PALF"/>
    <x v="0"/>
    <s v="Congo"/>
    <x v="0"/>
    <x v="0"/>
    <m/>
  </r>
  <r>
    <x v="25"/>
    <s v="Reglement loyer du mois de Janvier 2025/DOVI Coordinateur PALF"/>
    <s v="Personnel"/>
    <s v="Management"/>
    <x v="85"/>
    <x v="95"/>
    <n v="596.19299999999998"/>
    <s v="DOVI"/>
    <s v="DH-J-R3"/>
    <s v="PALF"/>
    <x v="0"/>
    <s v="Congo"/>
    <x v="0"/>
    <x v="0"/>
    <m/>
  </r>
  <r>
    <x v="25"/>
    <s v="Cumul frais de transport local du mois de Janvier 2025/Merveille"/>
    <s v="Transport"/>
    <s v="Office"/>
    <x v="86"/>
    <x v="96"/>
    <n v="596.19299999999998"/>
    <s v="Merveille"/>
    <s v="ME-J-D1"/>
    <s v="PALF"/>
    <x v="0"/>
    <s v="Congo"/>
    <x v="0"/>
    <x v="0"/>
    <m/>
  </r>
  <r>
    <x v="25"/>
    <s v="Ramassage Ordure/bureau PALF"/>
    <s v="Services"/>
    <s v="Office"/>
    <x v="63"/>
    <x v="70"/>
    <n v="596.19299999999998"/>
    <s v="Merveille"/>
    <s v="CA-J-R35"/>
    <s v="PALF"/>
    <x v="0"/>
    <s v="Congo"/>
    <x v="0"/>
    <x v="0"/>
    <m/>
  </r>
  <r>
    <x v="25"/>
    <s v="Reglement facture internet perionde du 01/02 au 28/02/2025 bureau PALF"/>
    <s v="Internet "/>
    <s v="Office"/>
    <x v="87"/>
    <x v="97"/>
    <n v="596.19299999999998"/>
    <s v="Merveille"/>
    <s v="CA-J-R36"/>
    <s v="PALF"/>
    <x v="0"/>
    <s v="Congo"/>
    <x v="0"/>
    <x v="0"/>
    <m/>
  </r>
  <r>
    <x v="25"/>
    <s v="Cumul frais de transport local du mois de Janvier 2025/LOUNDOU Jean Romain"/>
    <s v="Transport"/>
    <s v="Legal"/>
    <x v="88"/>
    <x v="98"/>
    <n v="596.19299999999998"/>
    <s v="Romain"/>
    <s v="RM-J-D3"/>
    <s v="PALF"/>
    <x v="0"/>
    <s v="Congo"/>
    <x v="0"/>
    <x v="0"/>
    <m/>
  </r>
  <r>
    <x v="25"/>
    <s v="Installation Pack office et activation et installation des pratiques logiques"/>
    <s v="Website and software"/>
    <s v="Office"/>
    <x v="30"/>
    <x v="99"/>
    <n v="596.19299999999998"/>
    <s v="Abraham"/>
    <s v="CA-J-R37"/>
    <s v="PALF"/>
    <x v="0"/>
    <s v="Congo"/>
    <x v="0"/>
    <x v="0"/>
    <m/>
  </r>
  <r>
    <x v="25"/>
    <s v="Reglement honoraire du mois de Janvier 2025/G12"/>
    <s v="Personnel"/>
    <s v="Investigations"/>
    <x v="89"/>
    <x v="100"/>
    <n v="596.19299999999998"/>
    <s v="BCI"/>
    <s v="BQ-J-R15"/>
    <s v="PALF"/>
    <x v="0"/>
    <s v="Congo"/>
    <x v="0"/>
    <x v="0"/>
    <m/>
  </r>
  <r>
    <x v="25"/>
    <s v="Reglement honoraire du mois de Janvier 2025/T73"/>
    <s v="Personnel"/>
    <s v="Investigations"/>
    <x v="90"/>
    <x v="101"/>
    <n v="596.19299999999998"/>
    <s v="BCI"/>
    <s v="BQ-J-R16"/>
    <s v="PALF"/>
    <x v="0"/>
    <s v="Congo"/>
    <x v="0"/>
    <x v="0"/>
    <m/>
  </r>
  <r>
    <x v="25"/>
    <s v="Reglement honoraire du mois de Janvier 2025/P29"/>
    <s v="Personnel"/>
    <s v="Investigations"/>
    <x v="91"/>
    <x v="102"/>
    <n v="596.19299999999998"/>
    <s v="BCI"/>
    <s v="BQ-J-R17"/>
    <s v="PALF"/>
    <x v="0"/>
    <s v="Congo"/>
    <x v="0"/>
    <x v="0"/>
    <m/>
  </r>
  <r>
    <x v="25"/>
    <s v="Reglement honoraire du mois de Janvier 2025/TIT87"/>
    <s v="Personnel"/>
    <s v="Investigations"/>
    <x v="89"/>
    <x v="100"/>
    <n v="596.19299999999998"/>
    <s v="BCI"/>
    <s v="BQ-J-R18"/>
    <s v="PALF"/>
    <x v="0"/>
    <s v="Congo"/>
    <x v="0"/>
    <x v="0"/>
    <m/>
  </r>
  <r>
    <x v="26"/>
    <s v="Achat credit  teléphonique MTN/PALF/Première partie du mois de Février 2025/Management"/>
    <s v="Telephone"/>
    <s v="Management"/>
    <x v="92"/>
    <x v="103"/>
    <n v="579.25099999999998"/>
    <s v="Merveille"/>
    <s v="CA-F-R1"/>
    <s v="PALF"/>
    <x v="1"/>
    <s v="Congo"/>
    <x v="0"/>
    <x v="0"/>
    <m/>
  </r>
  <r>
    <x v="26"/>
    <s v="Achat credit  teléphonique MTN/PALF/Première partie du mois de Février 2025/Legal"/>
    <s v="Telephone"/>
    <s v="Legal"/>
    <x v="93"/>
    <x v="104"/>
    <n v="579.25099999999998"/>
    <s v="Merveille"/>
    <s v="CA-F-R2"/>
    <s v="PALF"/>
    <x v="1"/>
    <s v="Congo"/>
    <x v="0"/>
    <x v="0"/>
    <m/>
  </r>
  <r>
    <x v="26"/>
    <s v="Achat credit  teléphonique MTN/PALF/Première partie du mois de Février 2025/Investigation"/>
    <s v="Telephone"/>
    <s v="Investigations"/>
    <x v="3"/>
    <x v="105"/>
    <n v="579.25099999999998"/>
    <s v="Merveille"/>
    <s v="CA-F-R3"/>
    <s v="PALF"/>
    <x v="1"/>
    <s v="Congo"/>
    <x v="0"/>
    <x v="0"/>
    <m/>
  </r>
  <r>
    <x v="26"/>
    <s v="Achat credit  teléphonique MTN/PALF/Première partie du mois de Février 2025/Media"/>
    <s v="Telephone"/>
    <s v="Media"/>
    <x v="4"/>
    <x v="106"/>
    <n v="579.25099999999998"/>
    <s v="Merveille"/>
    <s v="CA-F-R4"/>
    <s v="PALF"/>
    <x v="1"/>
    <s v="Congo"/>
    <x v="0"/>
    <x v="0"/>
    <m/>
  </r>
  <r>
    <x v="26"/>
    <s v="Achat credit  teléphonique Airtel/PALF/Première partie du mois de Février 2025/Legal"/>
    <s v="Telephone"/>
    <s v="Legal"/>
    <x v="4"/>
    <x v="106"/>
    <n v="579.25099999999998"/>
    <s v="Merveille"/>
    <s v="CA-F-R5"/>
    <s v="PALF"/>
    <x v="1"/>
    <s v="Congo"/>
    <x v="0"/>
    <x v="0"/>
    <m/>
  </r>
  <r>
    <x v="26"/>
    <s v="Achat credit  teléphonique Airtel/PALF/Première partie du mois de Février 2025/Investigation"/>
    <s v="Telephone"/>
    <s v="Investigations"/>
    <x v="5"/>
    <x v="107"/>
    <n v="579.25099999999998"/>
    <s v="Merveille"/>
    <s v="CA-F-R6"/>
    <s v="PALF"/>
    <x v="1"/>
    <s v="Congo"/>
    <x v="0"/>
    <x v="0"/>
    <m/>
  </r>
  <r>
    <x v="26"/>
    <s v="Achat credit  teléphonique Airtel/PALF/Première partie du mois de Février 2025/Media"/>
    <s v="Telephone"/>
    <s v="Media"/>
    <x v="6"/>
    <x v="108"/>
    <n v="579.25099999999998"/>
    <s v="Merveille"/>
    <s v="CA-F-R7"/>
    <s v="PALF"/>
    <x v="1"/>
    <s v="Congo"/>
    <x v="0"/>
    <x v="0"/>
    <m/>
  </r>
  <r>
    <x v="27"/>
    <s v="Achat  Billet  Brazzaville-Owando/Romain"/>
    <s v="Transport"/>
    <s v="Legal"/>
    <x v="12"/>
    <x v="53"/>
    <n v="579.25099999999998"/>
    <s v="Romain"/>
    <s v="RM-F-R1"/>
    <s v="PALF"/>
    <x v="1"/>
    <s v="Congo"/>
    <x v="0"/>
    <x v="0"/>
    <m/>
  </r>
  <r>
    <x v="27"/>
    <s v="Frais de mission maitre Alain BANZOUZI du 05 au 07 Février 2025 à Owando suivi audience"/>
    <s v="Lawyer Fees"/>
    <s v="Legal"/>
    <x v="21"/>
    <x v="109"/>
    <n v="579.25099999999998"/>
    <s v="Romain"/>
    <s v="CA-F-R8"/>
    <s v="PALF"/>
    <x v="1"/>
    <s v="Congo"/>
    <x v="0"/>
    <x v="0"/>
    <m/>
  </r>
  <r>
    <x v="27"/>
    <s v=" Achat billet Brazzaville- Owando/Roderlin"/>
    <s v="Transport"/>
    <s v="Legal"/>
    <x v="12"/>
    <x v="53"/>
    <n v="579.25099999999998"/>
    <s v="Roderlin"/>
    <s v="RO-F-R1"/>
    <s v="PALF"/>
    <x v="1"/>
    <s v="Congo"/>
    <x v="0"/>
    <x v="0"/>
    <m/>
  </r>
  <r>
    <x v="27"/>
    <s v="Reglement Facture Gardiennage Mois de Janvier 2025/36564792"/>
    <s v="Services"/>
    <s v="Office"/>
    <x v="10"/>
    <x v="10"/>
    <n v="579.25099999999998"/>
    <s v="BCI"/>
    <s v="BQ-F-R1"/>
    <s v="PALF"/>
    <x v="1"/>
    <s v="Congo"/>
    <x v="0"/>
    <x v="0"/>
    <m/>
  </r>
  <r>
    <x v="27"/>
    <s v="Achat billet Brazzaville - Makoua/ IT87"/>
    <s v="Transport"/>
    <s v="Investigations"/>
    <x v="94"/>
    <x v="110"/>
    <n v="579.25099999999998"/>
    <s v="IT87"/>
    <s v="IT87-F-R1"/>
    <s v="PALF"/>
    <x v="1"/>
    <s v="Congo"/>
    <x v="0"/>
    <x v="0"/>
    <m/>
  </r>
  <r>
    <x v="28"/>
    <s v="Achat billet brazzaville-oyo/P29"/>
    <s v="Transport"/>
    <s v="Investigations"/>
    <x v="63"/>
    <x v="70"/>
    <n v="579.25099999999998"/>
    <s v="P29"/>
    <s v="P29-F-R1"/>
    <s v="PALF"/>
    <x v="1"/>
    <s v="Congo"/>
    <x v="0"/>
    <x v="0"/>
    <m/>
  </r>
  <r>
    <x v="28"/>
    <s v="Achat eau mineral 16 LITRES/Bureau"/>
    <s v="Office Materials"/>
    <s v="Office"/>
    <x v="7"/>
    <x v="111"/>
    <n v="579.25099999999998"/>
    <s v="Merveille"/>
    <s v="CA-F-R9"/>
    <s v="PALF"/>
    <x v="1"/>
    <s v="Congo"/>
    <x v="0"/>
    <x v="0"/>
    <m/>
  </r>
  <r>
    <x v="28"/>
    <s v="Achat produit d'entretien lait,sucre,javel,papier toilette,sucre,café/Bureau PALF"/>
    <s v="Office Materials"/>
    <s v="Office"/>
    <x v="95"/>
    <x v="112"/>
    <n v="579.25099999999998"/>
    <s v="Merveille"/>
    <s v="CA-F-R10"/>
    <s v="PALF"/>
    <x v="1"/>
    <s v="Congo"/>
    <x v="0"/>
    <x v="0"/>
    <m/>
  </r>
  <r>
    <x v="28"/>
    <s v="P29 - CONGO Ration  du 05 au 28/02/2025 à Oyo,Tchikapika et Owando(23 Nuitées)"/>
    <s v="Travel Subsistence"/>
    <s v="Investigations"/>
    <x v="96"/>
    <x v="113"/>
    <n v="579.25099999999998"/>
    <s v="P29"/>
    <s v="P29-F-D1"/>
    <s v="PALF"/>
    <x v="1"/>
    <s v="Congo"/>
    <x v="0"/>
    <x v="0"/>
    <m/>
  </r>
  <r>
    <x v="28"/>
    <s v="IT87 - CONGO Ration du 05 au 12/02/2025 à Makoua,etoumbi,Otende"/>
    <s v="Travel Subsistence"/>
    <s v="Investigations"/>
    <x v="21"/>
    <x v="109"/>
    <n v="579.25099999999998"/>
    <s v="IT87"/>
    <s v="IT87-F-D1"/>
    <s v="PALF"/>
    <x v="1"/>
    <s v="Congo"/>
    <x v="0"/>
    <x v="0"/>
    <m/>
  </r>
  <r>
    <x v="28"/>
    <s v="Achat billet Makoua - Etoumbi/ IT87"/>
    <s v="Transport"/>
    <s v="Investigations"/>
    <x v="31"/>
    <x v="69"/>
    <n v="579.25099999999998"/>
    <s v="IT87"/>
    <s v="IT87-F-R1"/>
    <s v="PALF"/>
    <x v="1"/>
    <s v="Congo"/>
    <x v="0"/>
    <x v="0"/>
    <m/>
  </r>
  <r>
    <x v="28"/>
    <s v="ROMAIN-CONGO: Ration du 05 au 07/02/2025 à Owando"/>
    <s v="Travel Subsistence"/>
    <s v="Legal"/>
    <x v="0"/>
    <x v="52"/>
    <n v="579.25099999999998"/>
    <s v="Romain"/>
    <s v="RM-F-D1"/>
    <s v="PALF"/>
    <x v="1"/>
    <s v="Congo"/>
    <x v="0"/>
    <x v="0"/>
    <m/>
  </r>
  <r>
    <x v="28"/>
    <s v="RODERLIN-CONGO Ration du 05 au 07/02/2025 à Owando (02 nuitées)"/>
    <s v="Travel Subsistence"/>
    <s v="Legal"/>
    <x v="0"/>
    <x v="52"/>
    <n v="579.25099999999998"/>
    <s v="Roderlin"/>
    <s v="RO-F-D1"/>
    <s v="PALF"/>
    <x v="1"/>
    <s v="Congo"/>
    <x v="0"/>
    <x v="0"/>
    <m/>
  </r>
  <r>
    <x v="28"/>
    <s v="Reglement loyer du mois de Janvier 2025/3654789"/>
    <s v="Rent &amp; Utilities"/>
    <s v="Office"/>
    <x v="9"/>
    <x v="9"/>
    <n v="579.25099999999998"/>
    <s v="BCI"/>
    <s v="BQ-F-R2"/>
    <s v="PALF"/>
    <x v="1"/>
    <s v="Congo"/>
    <x v="0"/>
    <x v="0"/>
    <m/>
  </r>
  <r>
    <x v="29"/>
    <s v="Achat billet : Brazzaville - Makoua/T73"/>
    <s v="Transport"/>
    <s v="Investigations"/>
    <x v="94"/>
    <x v="110"/>
    <n v="579.25099999999998"/>
    <s v="T73"/>
    <s v="T73-F-R1"/>
    <s v="PALF"/>
    <x v="1"/>
    <s v="Congo"/>
    <x v="0"/>
    <x v="0"/>
    <m/>
  </r>
  <r>
    <x v="29"/>
    <s v="T73 - CONGO Ration du 06 au 28/12/2024 (22nuitées)à Makoua et Owando"/>
    <s v="Travel Subsistence"/>
    <s v="Investigations"/>
    <x v="97"/>
    <x v="114"/>
    <n v="579.25099999999998"/>
    <s v="T73"/>
    <s v="T73-F-D1"/>
    <s v="PALF"/>
    <x v="1"/>
    <s v="Congo"/>
    <x v="0"/>
    <x v="0"/>
    <m/>
  </r>
  <r>
    <x v="29"/>
    <s v="Bonus media portant sur l'audience du 06 Février au TG1 d'Owando"/>
    <s v="Bonus to media officer"/>
    <s v="Media"/>
    <x v="83"/>
    <x v="93"/>
    <n v="579.25099999999998"/>
    <s v="Evariste"/>
    <s v="CA-F-D1"/>
    <s v="PALF"/>
    <x v="1"/>
    <s v="Congo"/>
    <x v="0"/>
    <x v="0"/>
    <m/>
  </r>
  <r>
    <x v="30"/>
    <s v="Achat billet oyo-tchikapika/P29"/>
    <s v="Transport"/>
    <s v="Investigations"/>
    <x v="31"/>
    <x v="69"/>
    <n v="579.25099999999998"/>
    <s v="P29"/>
    <s v="P29-F-R2"/>
    <s v="PALF"/>
    <x v="1"/>
    <s v="Congo"/>
    <x v="0"/>
    <x v="0"/>
    <m/>
  </r>
  <r>
    <x v="30"/>
    <s v="P29 - CONGO Frais d'hotel du 05 au 07/02/2025 à oyo(02 Nuitées)"/>
    <s v="Travel Subsistence"/>
    <s v="Investigations"/>
    <x v="44"/>
    <x v="49"/>
    <n v="579.25099999999998"/>
    <s v="P29"/>
    <s v="P29-F-R3"/>
    <s v="PALF"/>
    <x v="1"/>
    <s v="Congo"/>
    <x v="0"/>
    <x v="0"/>
    <m/>
  </r>
  <r>
    <x v="30"/>
    <s v="IT87 - CONGO Frais d'hôtel Akoua du 05 au 07/02/2025 à Etoumbi (02 nuitées)"/>
    <s v="Travel Subsistence"/>
    <s v="Investigations"/>
    <x v="44"/>
    <x v="49"/>
    <n v="579.25099999999998"/>
    <s v="IT87"/>
    <s v="IT87-F-R1"/>
    <s v="PALF"/>
    <x v="1"/>
    <s v="Congo"/>
    <x v="0"/>
    <x v="0"/>
    <m/>
  </r>
  <r>
    <x v="30"/>
    <s v="Achat billet Etoumbi - Makoua/ IT87"/>
    <s v="Transport"/>
    <s v="Investigations"/>
    <x v="31"/>
    <x v="69"/>
    <n v="579.25099999999998"/>
    <s v="IT87"/>
    <s v="IT87-F-R2"/>
    <s v="PALF"/>
    <x v="1"/>
    <s v="Congo"/>
    <x v="0"/>
    <x v="0"/>
    <m/>
  </r>
  <r>
    <x v="30"/>
    <s v="Achat billet Makoua - Otende/ IT87"/>
    <s v="Transport"/>
    <s v="Investigations"/>
    <x v="98"/>
    <x v="115"/>
    <n v="579.25099999999998"/>
    <s v="IT87"/>
    <s v="IT87-F-R3"/>
    <s v="PALF"/>
    <x v="1"/>
    <s v="Congo"/>
    <x v="0"/>
    <x v="0"/>
    <m/>
  </r>
  <r>
    <x v="30"/>
    <s v="Achat billet retour Owando-Brazzaville/Romain"/>
    <s v="Transport"/>
    <s v="Legal"/>
    <x v="12"/>
    <x v="53"/>
    <n v="579.25099999999998"/>
    <s v="Romain"/>
    <s v="RM-F-R2"/>
    <s v="PALF"/>
    <x v="1"/>
    <s v="Congo"/>
    <x v="0"/>
    <x v="0"/>
    <m/>
  </r>
  <r>
    <x v="30"/>
    <s v="ROMAIN - CONGO Frais d'hotel du 05 au 07/02/2025 à Owando(2 nuitées)"/>
    <s v="Travel Subsistence"/>
    <s v="Legal"/>
    <x v="44"/>
    <x v="49"/>
    <n v="579.25099999999998"/>
    <s v="Romain"/>
    <s v="RM-F-R3"/>
    <s v="PALF"/>
    <x v="1"/>
    <s v="Congo"/>
    <x v="0"/>
    <x v="0"/>
    <m/>
  </r>
  <r>
    <x v="30"/>
    <s v="Achat billet Owando- Brazzaville /Roderlin"/>
    <s v="Transport"/>
    <s v="Legal"/>
    <x v="12"/>
    <x v="53"/>
    <n v="579.25099999999998"/>
    <s v="Roderlin"/>
    <s v="RO-F-R2"/>
    <s v="PALF"/>
    <x v="1"/>
    <s v="Congo"/>
    <x v="0"/>
    <x v="0"/>
    <m/>
  </r>
  <r>
    <x v="30"/>
    <s v="RODERLIN-CONGO frais d'hôtel du 05 au 07/02/2025 à Owando (02 nuitées)"/>
    <s v="Travel Subsistence"/>
    <s v="Legal"/>
    <x v="44"/>
    <x v="49"/>
    <n v="579.25099999999998"/>
    <s v="Roderlin"/>
    <s v="RO-F-R3"/>
    <s v="PALF"/>
    <x v="1"/>
    <s v="Congo"/>
    <x v="0"/>
    <x v="0"/>
    <m/>
  </r>
  <r>
    <x v="30"/>
    <s v="Frais de transfert d'argent à T73"/>
    <s v="Transfer Fees"/>
    <s v="Office"/>
    <x v="99"/>
    <x v="116"/>
    <n v="579.25099999999998"/>
    <s v="Abraham"/>
    <s v="CA-F-R11"/>
    <s v="PALF"/>
    <x v="1"/>
    <s v="Congo"/>
    <x v="0"/>
    <x v="0"/>
    <m/>
  </r>
  <r>
    <x v="30"/>
    <s v="Frais de transfert d'argent à P29 et IT87"/>
    <s v="Transfer Fees"/>
    <s v="Office"/>
    <x v="100"/>
    <x v="117"/>
    <n v="579.25099999999998"/>
    <s v="Roderlin"/>
    <s v="CA-F-R32"/>
    <s v="PALF"/>
    <x v="1"/>
    <s v="Congo"/>
    <x v="0"/>
    <x v="0"/>
    <m/>
  </r>
  <r>
    <x v="31"/>
    <s v="Achat billet :Brazzaville -loudima /G12"/>
    <s v="Transport"/>
    <s v="Investigations"/>
    <x v="37"/>
    <x v="72"/>
    <n v="579.25099999999998"/>
    <s v="G12"/>
    <s v="G12-F-R1"/>
    <s v="PALF"/>
    <x v="1"/>
    <s v="Congo"/>
    <x v="0"/>
    <x v="0"/>
    <m/>
  </r>
  <r>
    <x v="31"/>
    <s v="G12 - CONGO  Ration du 08 au 15 /02/2025(07 Nuitées)"/>
    <s v="Travel Subsistence"/>
    <s v="Investigations"/>
    <x v="21"/>
    <x v="109"/>
    <n v="579.25099999999998"/>
    <s v="G12"/>
    <s v="G12-F-D1"/>
    <s v="PALF"/>
    <x v="1"/>
    <s v="Congo"/>
    <x v="0"/>
    <x v="0"/>
    <m/>
  </r>
  <r>
    <x v="31"/>
    <s v="Achat billet: Loudima - sibiti/G12"/>
    <s v="Transport"/>
    <s v="Investigations"/>
    <x v="101"/>
    <x v="118"/>
    <n v="579.25099999999998"/>
    <s v="G12"/>
    <s v="G12-F-R2"/>
    <s v="PALF"/>
    <x v="1"/>
    <s v="Congo"/>
    <x v="0"/>
    <x v="0"/>
    <m/>
  </r>
  <r>
    <x v="32"/>
    <s v="P29 -CONGO Frais d'hotel du 07 au 09/02/2025 à tchikapika(02 Nuitées)"/>
    <s v="Travel Subsistence"/>
    <s v="Investigations"/>
    <x v="44"/>
    <x v="49"/>
    <n v="579.25099999999998"/>
    <s v="P29"/>
    <s v="P29-F-R4"/>
    <s v="PALF"/>
    <x v="1"/>
    <s v="Congo"/>
    <x v="0"/>
    <x v="0"/>
    <m/>
  </r>
  <r>
    <x v="32"/>
    <s v="Achat billet tchikapika-ombele/P29"/>
    <s v="Transport"/>
    <s v="Investigations"/>
    <x v="31"/>
    <x v="69"/>
    <n v="579.25099999999998"/>
    <s v="P29"/>
    <s v="P29-F-R5"/>
    <s v="PALF"/>
    <x v="1"/>
    <s v="Congo"/>
    <x v="0"/>
    <x v="0"/>
    <m/>
  </r>
  <r>
    <x v="32"/>
    <s v="Cumul frais de trust building du mois de Février 2025/P29"/>
    <s v="Trust Building"/>
    <s v="Investigations"/>
    <x v="102"/>
    <x v="119"/>
    <n v="579.25099999999998"/>
    <s v="P29"/>
    <s v="P29-F-D2"/>
    <s v="PALF"/>
    <x v="1"/>
    <s v="Congo"/>
    <x v="0"/>
    <x v="0"/>
    <m/>
  </r>
  <r>
    <x v="32"/>
    <s v="IT87 - CONGOFrais d'hôtel le Pépin du 07 au 09/02/2025 à Otende (02 nuitées)"/>
    <s v="Travel Subsistence"/>
    <s v="Investigations"/>
    <x v="44"/>
    <x v="49"/>
    <n v="579.25099999999998"/>
    <s v="IT87"/>
    <s v="IT87-F-R4"/>
    <s v="PALF"/>
    <x v="1"/>
    <s v="Congo"/>
    <x v="0"/>
    <x v="0"/>
    <m/>
  </r>
  <r>
    <x v="32"/>
    <s v="Achat billet Otende - Oyo/ IT87"/>
    <s v="Transport"/>
    <s v="Investigations"/>
    <x v="67"/>
    <x v="76"/>
    <n v="579.25099999999998"/>
    <s v="IT87"/>
    <s v="IT87-F-R5"/>
    <s v="PALF"/>
    <x v="1"/>
    <s v="Congo"/>
    <x v="0"/>
    <x v="0"/>
    <m/>
  </r>
  <r>
    <x v="33"/>
    <s v="P29 - CONGO Frais d'hotel du 09 au 10/02/2025 à ombele (01 Nuitée)"/>
    <s v="Travel Subsistence"/>
    <s v="Investigations"/>
    <x v="64"/>
    <x v="71"/>
    <n v="579.25099999999998"/>
    <s v="P29"/>
    <s v="P29-F-R6"/>
    <s v="PALF"/>
    <x v="1"/>
    <s v="Congo"/>
    <x v="0"/>
    <x v="0"/>
    <m/>
  </r>
  <r>
    <x v="33"/>
    <s v="Achat billet ombele-owando/P29"/>
    <s v="Transport"/>
    <s v="Investigations"/>
    <x v="31"/>
    <x v="69"/>
    <n v="579.25099999999998"/>
    <s v="P29"/>
    <s v="P29-F-R7"/>
    <s v="PALF"/>
    <x v="1"/>
    <s v="Congo"/>
    <x v="0"/>
    <x v="0"/>
    <m/>
  </r>
  <r>
    <x v="33"/>
    <s v="T73 - CONGO Frais d'hotel du 06 au 10/02/2025 (04nuitées ) à Makoua"/>
    <s v="Travel Subsistence"/>
    <s v="Investigations"/>
    <x v="23"/>
    <x v="75"/>
    <n v="579.25099999999998"/>
    <s v="T73"/>
    <s v="T73-F-R2"/>
    <s v="PALF"/>
    <x v="1"/>
    <s v="Congo"/>
    <x v="0"/>
    <x v="0"/>
    <m/>
  </r>
  <r>
    <x v="33"/>
    <s v="Achat billet : makoua - Owando/T73"/>
    <s v="Transport"/>
    <s v="Investigations"/>
    <x v="67"/>
    <x v="76"/>
    <n v="579.25099999999998"/>
    <s v="T73"/>
    <s v="T73-F-R4"/>
    <s v="PALF"/>
    <x v="1"/>
    <s v="Congo"/>
    <x v="0"/>
    <x v="0"/>
    <m/>
  </r>
  <r>
    <x v="33"/>
    <s v="Frais de transfert d'argent à G12"/>
    <s v="Transfer Fees"/>
    <s v="Office"/>
    <x v="103"/>
    <x v="120"/>
    <n v="579.25099999999998"/>
    <s v="Roderlin"/>
    <s v="CA-F-R12"/>
    <s v="PALF"/>
    <x v="1"/>
    <s v="Congo"/>
    <x v="0"/>
    <x v="0"/>
    <m/>
  </r>
  <r>
    <x v="34"/>
    <s v="Bonus du mois de Janvier 2025/Merveille"/>
    <s v="Personnel"/>
    <s v="Office"/>
    <x v="104"/>
    <x v="121"/>
    <n v="579.25099999999998"/>
    <s v="Merveille"/>
    <s v="CA-F-D2"/>
    <s v="PALF"/>
    <x v="1"/>
    <s v="Congo"/>
    <x v="0"/>
    <x v="0"/>
    <m/>
  </r>
  <r>
    <x v="34"/>
    <s v="Bonus du mois de Janvier 2025/Crepin"/>
    <s v="Personnel"/>
    <s v="Legal"/>
    <x v="44"/>
    <x v="49"/>
    <n v="579.25099999999998"/>
    <s v="Merveille"/>
    <s v="CA-F-D3"/>
    <s v="PALF"/>
    <x v="1"/>
    <s v="Congo"/>
    <x v="0"/>
    <x v="0"/>
    <m/>
  </r>
  <r>
    <x v="34"/>
    <s v="Bonus du mois de Janvier 2025/Romain"/>
    <s v="Personnel"/>
    <s v="Legal"/>
    <x v="44"/>
    <x v="49"/>
    <n v="579.25099999999998"/>
    <s v="Merveille"/>
    <s v="CA-F-D4"/>
    <s v="PALF"/>
    <x v="1"/>
    <s v="Congo"/>
    <x v="0"/>
    <x v="0"/>
    <m/>
  </r>
  <r>
    <x v="34"/>
    <s v="Bonus du mois de Janvier 2025/Abraham"/>
    <s v="Personnel"/>
    <s v="Legal"/>
    <x v="44"/>
    <x v="49"/>
    <n v="579.25099999999998"/>
    <s v="Merveille"/>
    <s v="CA-F-D5"/>
    <s v="PALF"/>
    <x v="1"/>
    <s v="Congo"/>
    <x v="0"/>
    <x v="0"/>
    <m/>
  </r>
  <r>
    <x v="34"/>
    <s v="Bonus du mois de Janvier 2025/Roderlin"/>
    <s v="Personnel"/>
    <s v="Legal"/>
    <x v="44"/>
    <x v="49"/>
    <n v="579.25099999999998"/>
    <s v="Merveille"/>
    <s v="CA-F-D6"/>
    <s v="PALF"/>
    <x v="1"/>
    <s v="Congo"/>
    <x v="0"/>
    <x v="0"/>
    <m/>
  </r>
  <r>
    <x v="34"/>
    <s v="Bonus du mois de Janvier 2025/Evariste"/>
    <s v="Personnel"/>
    <s v="Media"/>
    <x v="44"/>
    <x v="49"/>
    <n v="579.25099999999998"/>
    <s v="Merveille"/>
    <s v="CA-F-D7"/>
    <s v="PALF"/>
    <x v="1"/>
    <s v="Congo"/>
    <x v="0"/>
    <x v="0"/>
    <m/>
  </r>
  <r>
    <x v="34"/>
    <s v="Bonus opération du 15/01/2025 à Owando/Crepin"/>
    <s v="Bonus"/>
    <s v="Operations"/>
    <x v="29"/>
    <x v="122"/>
    <n v="579.25099999999998"/>
    <s v="Merveille"/>
    <s v="CA-F-D8"/>
    <s v="PALF"/>
    <x v="1"/>
    <s v="Congo"/>
    <x v="0"/>
    <x v="0"/>
    <m/>
  </r>
  <r>
    <x v="34"/>
    <s v="Bonus opération du 15/01/2025 à Owando/Romain"/>
    <s v="Bonus"/>
    <s v="Operations"/>
    <x v="44"/>
    <x v="49"/>
    <n v="579.25099999999998"/>
    <s v="Merveille"/>
    <s v="CA-F-D9"/>
    <s v="PALF"/>
    <x v="1"/>
    <s v="Congo"/>
    <x v="0"/>
    <x v="0"/>
    <m/>
  </r>
  <r>
    <x v="34"/>
    <s v="Bonus opération du 15/01/2025 à Owando/Abraham"/>
    <s v="Bonus"/>
    <s v="Operations"/>
    <x v="44"/>
    <x v="49"/>
    <n v="579.25099999999998"/>
    <s v="Merveille"/>
    <s v="CA-F-D10"/>
    <s v="PALF"/>
    <x v="1"/>
    <s v="Congo"/>
    <x v="0"/>
    <x v="0"/>
    <m/>
  </r>
  <r>
    <x v="34"/>
    <s v="Bonus opération du 15/01/2025 à Owando/Evariste"/>
    <s v="Bonus"/>
    <s v="Operations"/>
    <x v="44"/>
    <x v="49"/>
    <n v="579.25099999999998"/>
    <s v="Merveille"/>
    <s v="CA-F-D11"/>
    <s v="PALF"/>
    <x v="1"/>
    <s v="Congo"/>
    <x v="0"/>
    <x v="0"/>
    <m/>
  </r>
  <r>
    <x v="34"/>
    <s v="G12 Congo frais d'hotel du 08 au 11/02/2025   à sibiti (3 nuitées)"/>
    <s v="Travel Subsistence"/>
    <s v="Investigations"/>
    <x v="22"/>
    <x v="123"/>
    <n v="579.25099999999998"/>
    <s v="G12"/>
    <s v="G12-F-R3"/>
    <s v="PALF"/>
    <x v="1"/>
    <s v="Congo"/>
    <x v="0"/>
    <x v="0"/>
    <m/>
  </r>
  <r>
    <x v="34"/>
    <s v="Achat billet sibiti - loudima /G12"/>
    <s v="Transport"/>
    <s v="Investigations"/>
    <x v="101"/>
    <x v="118"/>
    <n v="579.25099999999998"/>
    <s v="G12"/>
    <s v="G12-F-R4"/>
    <s v="PALF"/>
    <x v="1"/>
    <s v="Congo"/>
    <x v="0"/>
    <x v="0"/>
    <m/>
  </r>
  <r>
    <x v="34"/>
    <s v="Achat billet loudima -nkayi / G12"/>
    <s v="Transport"/>
    <s v="Investigations"/>
    <x v="67"/>
    <x v="124"/>
    <n v="613.82180000000005"/>
    <s v="G12"/>
    <s v="G12-F-R5"/>
    <s v="PALF"/>
    <x v="2"/>
    <s v="Congo"/>
    <x v="0"/>
    <x v="0"/>
    <m/>
  </r>
  <r>
    <x v="34"/>
    <s v="Achat billet Brazzaville-Owando(Trans bony)/Abraham"/>
    <s v="Transport"/>
    <s v="Legal"/>
    <x v="12"/>
    <x v="125"/>
    <n v="613.82180000000005"/>
    <s v="Abraham"/>
    <s v="AB-F-R1"/>
    <s v="PALF"/>
    <x v="2"/>
    <s v="Congo"/>
    <x v="0"/>
    <x v="0"/>
    <m/>
  </r>
  <r>
    <x v="34"/>
    <s v="Frais de mission maitre Marie Helène NANITELAMION du 12 au 14 Février 2025 à Owando suivi audience"/>
    <s v="Lawyer Fees"/>
    <s v="Legal"/>
    <x v="21"/>
    <x v="109"/>
    <n v="579.25099999999998"/>
    <s v="Abraham"/>
    <s v="CA-F-R13"/>
    <s v="PALF"/>
    <x v="1"/>
    <s v="Congo"/>
    <x v="0"/>
    <x v="0"/>
    <m/>
  </r>
  <r>
    <x v="34"/>
    <s v="Solde honoraire contrat n°81 Owando cas Monick/ Maître BANZOUZI Alain/3654800"/>
    <s v="Lawyer Fees"/>
    <s v="Legal"/>
    <x v="58"/>
    <x v="64"/>
    <n v="579.25099999999998"/>
    <s v="BCI"/>
    <s v="BQ-F-R3"/>
    <s v="PALF"/>
    <x v="1"/>
    <s v="Congo"/>
    <x v="0"/>
    <x v="0"/>
    <m/>
  </r>
  <r>
    <x v="34"/>
    <s v="Frais de transfert d'argent à P29"/>
    <s v="Transfer Fees"/>
    <s v="Office"/>
    <x v="42"/>
    <x v="126"/>
    <n v="596.19299999999998"/>
    <s v="Roderlin"/>
    <s v="CA-F-R14"/>
    <s v="PALF"/>
    <x v="0"/>
    <s v="Congo"/>
    <x v="0"/>
    <x v="0"/>
    <m/>
  </r>
  <r>
    <x v="35"/>
    <s v="IT87 - CONGO Frais d'hôtel Saint Benoît du 09 au 12/02/2025 à Oyo (03 nuitées)"/>
    <s v="Travel Subsistence"/>
    <s v="Investigations"/>
    <x v="22"/>
    <x v="123"/>
    <n v="596.19299999999998"/>
    <s v="IT87"/>
    <s v="IT87-F-R6"/>
    <s v="PALF"/>
    <x v="0"/>
    <s v="Congo"/>
    <x v="0"/>
    <x v="0"/>
    <m/>
  </r>
  <r>
    <x v="35"/>
    <s v="Achat billet Oyo - Brazzaville/ IT87"/>
    <s v="Transport"/>
    <s v="Investigations"/>
    <x v="12"/>
    <x v="53"/>
    <n v="596.19299999999998"/>
    <s v="IT87"/>
    <s v="IT87-F-R6"/>
    <s v="PALF"/>
    <x v="0"/>
    <s v="Congo"/>
    <x v="0"/>
    <x v="0"/>
    <m/>
  </r>
  <r>
    <x v="35"/>
    <s v="ABRAHAM - CONGO food allowance du 12/02 au 01/03/2025 à Owando (02 Nuitées)"/>
    <s v="Travel Subsistence"/>
    <s v="Legal"/>
    <x v="105"/>
    <x v="127"/>
    <n v="596.19299999999998"/>
    <s v="Abraham"/>
    <s v="AB-F-D1"/>
    <s v="PALF"/>
    <x v="0"/>
    <s v="Congo"/>
    <x v="0"/>
    <x v="0"/>
    <m/>
  </r>
  <r>
    <x v="35"/>
    <s v="Achat billet Brazzaville- Loudima/Roderlin"/>
    <s v="Transport"/>
    <s v="Legal"/>
    <x v="37"/>
    <x v="72"/>
    <n v="596.19299999999998"/>
    <s v="Roderlin"/>
    <s v="RO-F-R4"/>
    <s v="PALF"/>
    <x v="0"/>
    <s v="Congo"/>
    <x v="0"/>
    <x v="0"/>
    <m/>
  </r>
  <r>
    <x v="35"/>
    <s v="Frais de transfert d'argent à T73"/>
    <s v="Transfer Fees"/>
    <s v="Office"/>
    <x v="106"/>
    <x v="128"/>
    <n v="596.19299999999998"/>
    <s v="Roderlin"/>
    <s v="CA-F-R15"/>
    <s v="PALF"/>
    <x v="0"/>
    <s v="Congo"/>
    <x v="0"/>
    <x v="0"/>
    <m/>
  </r>
  <r>
    <x v="35"/>
    <s v="Frais de mission maitre Alain BANZOUZI du 13 au 15 Février 2025 à Sibiti/suivi audience"/>
    <s v="Lawyer Fees"/>
    <s v="Legal"/>
    <x v="17"/>
    <x v="57"/>
    <n v="596.19299999999998"/>
    <s v="Roderlin"/>
    <s v="CA-F-R16"/>
    <s v="PALF"/>
    <x v="0"/>
    <s v="Congo"/>
    <x v="0"/>
    <x v="0"/>
    <m/>
  </r>
  <r>
    <x v="36"/>
    <s v="Paiment assurance DOVI/Assistance Evacuation"/>
    <s v="Personnel"/>
    <s v="Management"/>
    <x v="107"/>
    <x v="129"/>
    <n v="596.19299999999998"/>
    <s v="Merveille"/>
    <s v="CA-F-R17"/>
    <s v="PALF"/>
    <x v="0"/>
    <s v="Congo"/>
    <x v="0"/>
    <x v="0"/>
    <m/>
  </r>
  <r>
    <x v="36"/>
    <s v="Paiment assurance DOVI/Individuelle Accidents Corporels"/>
    <s v="Personnel"/>
    <s v="Management"/>
    <x v="108"/>
    <x v="130"/>
    <n v="596.19299999999998"/>
    <s v="Merveille"/>
    <s v="CA-F-R18"/>
    <s v="PALF"/>
    <x v="0"/>
    <s v="Congo"/>
    <x v="0"/>
    <x v="0"/>
    <m/>
  </r>
  <r>
    <x v="36"/>
    <s v="G12-CONGO  frais d'hotel du 11 au 13 /02 / 2025 à nkayi (2nuitées)"/>
    <s v="Travel Subsistence"/>
    <s v="Investigations"/>
    <x v="44"/>
    <x v="49"/>
    <n v="596.19299999999998"/>
    <s v="G12"/>
    <s v="G12-F-R6"/>
    <s v="PALF"/>
    <x v="0"/>
    <s v="Congo"/>
    <x v="0"/>
    <x v="0"/>
    <m/>
  </r>
  <r>
    <x v="36"/>
    <s v="Achat billet nkayi - madingou/G12"/>
    <s v="Transport"/>
    <s v="Investigations"/>
    <x v="67"/>
    <x v="76"/>
    <n v="596.19299999999998"/>
    <s v="G12"/>
    <s v="G12-F-R7"/>
    <s v="PALF"/>
    <x v="0"/>
    <s v="Congo"/>
    <x v="0"/>
    <x v="0"/>
    <m/>
  </r>
  <r>
    <x v="36"/>
    <s v="RODERLIN-CONGO Ration du 13 au 15/02/2025 à Sibiti (02 nuitées)"/>
    <s v="Travel Subsistence"/>
    <s v="Legal"/>
    <x v="0"/>
    <x v="131"/>
    <n v="613.82180000000005"/>
    <s v="Roderlin"/>
    <s v="RO-F-D2"/>
    <s v="PALF"/>
    <x v="2"/>
    <s v="Congo"/>
    <x v="0"/>
    <x v="0"/>
    <m/>
  </r>
  <r>
    <x v="36"/>
    <s v="Bonus media portant sur la journée mondiale du Pangolin"/>
    <s v="Bonus to media officer"/>
    <s v="Media"/>
    <x v="52"/>
    <x v="132"/>
    <n v="613.82180000000005"/>
    <s v="Evariste"/>
    <s v="CA-F-D12"/>
    <s v="PALF"/>
    <x v="2"/>
    <s v="Congo"/>
    <x v="0"/>
    <x v="0"/>
    <m/>
  </r>
  <r>
    <x v="36"/>
    <s v="Reglement frais d'assurance multi risque/Bureau PALF"/>
    <s v="Services"/>
    <s v="Office"/>
    <x v="109"/>
    <x v="133"/>
    <n v="596.19299999999998"/>
    <s v="BCI"/>
    <s v="BQ-F-R4"/>
    <s v="PALF"/>
    <x v="0"/>
    <s v="Congo"/>
    <x v="0"/>
    <x v="0"/>
    <m/>
  </r>
  <r>
    <x v="36"/>
    <s v="Achat billet Loudima - Sibiti/Roderlin"/>
    <s v="Transport"/>
    <s v="Legal"/>
    <x v="101"/>
    <x v="118"/>
    <n v="579.25099999999998"/>
    <s v="Roderlin"/>
    <s v="RO-F-R6"/>
    <s v="PALF"/>
    <x v="1"/>
    <s v="Congo"/>
    <x v="0"/>
    <x v="0"/>
    <m/>
  </r>
  <r>
    <x v="37"/>
    <s v="Fonds envoyé à un informateur en RDC pour des informations"/>
    <s v="Trust Building"/>
    <s v="Investigations"/>
    <x v="44"/>
    <x v="49"/>
    <n v="596.19299999999998"/>
    <s v="DOVI"/>
    <s v="DH-F-R1"/>
    <s v="PALF"/>
    <x v="0"/>
    <s v="Congo"/>
    <x v="0"/>
    <x v="0"/>
    <m/>
  </r>
  <r>
    <x v="37"/>
    <s v="Frais de transfert d'argent par western union à l'informateur"/>
    <s v="Transfer Fees"/>
    <s v="Office"/>
    <x v="110"/>
    <x v="134"/>
    <n v="596.19299999999998"/>
    <s v="DOVI"/>
    <s v="DH-F-R2"/>
    <s v="PALF"/>
    <x v="0"/>
    <s v="Congo"/>
    <x v="0"/>
    <x v="0"/>
    <m/>
  </r>
  <r>
    <x v="37"/>
    <s v="Achat billet Brazzaville-Owando/DOVI"/>
    <s v="Transport"/>
    <s v="Management"/>
    <x v="12"/>
    <x v="125"/>
    <n v="613.82180000000005"/>
    <s v="DOVI"/>
    <s v="DH-F-R3"/>
    <s v="PALF"/>
    <x v="2"/>
    <s v="Congo"/>
    <x v="0"/>
    <x v="0"/>
    <m/>
  </r>
  <r>
    <x v="37"/>
    <s v="Billet: Brazzaville-Owando/Crepin"/>
    <s v="Transport"/>
    <s v="Legal"/>
    <x v="12"/>
    <x v="125"/>
    <n v="613.82180000000005"/>
    <s v="Crépin"/>
    <s v="CR-F-R1"/>
    <s v="PALF"/>
    <x v="2"/>
    <s v="Congo"/>
    <x v="0"/>
    <x v="0"/>
    <m/>
  </r>
  <r>
    <x v="37"/>
    <s v="Achat credit  teléphonique MTN/PALF/Deuxième partie du mois de Février 2025/Management"/>
    <s v="Telephone"/>
    <s v="Management"/>
    <x v="44"/>
    <x v="135"/>
    <n v="613.82180000000005"/>
    <s v="Merveille"/>
    <s v="CA-F-R20"/>
    <s v="PALF"/>
    <x v="2"/>
    <s v="Congo"/>
    <x v="0"/>
    <x v="0"/>
    <m/>
  </r>
  <r>
    <x v="37"/>
    <s v="Achat credit  teléphonique MTN/PALF/Deuxième partie du mois de Février 2025/Legal"/>
    <s v="Telephone"/>
    <s v="Legal"/>
    <x v="44"/>
    <x v="135"/>
    <n v="613.82180000000005"/>
    <s v="Merveille"/>
    <s v="CA-F-R21"/>
    <s v="PALF"/>
    <x v="2"/>
    <s v="Congo"/>
    <x v="0"/>
    <x v="0"/>
    <m/>
  </r>
  <r>
    <x v="37"/>
    <s v="Achat credit  teléphonique MTN/PALF/Deuxième partie du mois de Février 2025/Investigation"/>
    <s v="Telephone"/>
    <s v="Investigations"/>
    <x v="111"/>
    <x v="136"/>
    <n v="579.25099999999998"/>
    <s v="Merveille"/>
    <s v="CA-F-R22"/>
    <s v="PALF"/>
    <x v="1"/>
    <s v="Congo"/>
    <x v="0"/>
    <x v="0"/>
    <m/>
  </r>
  <r>
    <x v="37"/>
    <s v="Achat credit  teléphonique MTN/PALF/Deuxième partie du mois de Février 2025/Media"/>
    <s v="Telephone"/>
    <s v="Media"/>
    <x v="4"/>
    <x v="137"/>
    <n v="613.82180000000005"/>
    <s v="Merveille"/>
    <s v="CA-F-R23"/>
    <s v="PALF"/>
    <x v="2"/>
    <s v="Congo"/>
    <x v="0"/>
    <x v="0"/>
    <m/>
  </r>
  <r>
    <x v="37"/>
    <s v="Achat credit  teléphonique Airtel/PALF/Deuxième partie du mois de Février 2025/Legal"/>
    <s v="Telephone"/>
    <s v="Legal"/>
    <x v="4"/>
    <x v="137"/>
    <n v="613.82180000000005"/>
    <s v="Merveille"/>
    <s v="CA-F-R24"/>
    <s v="PALF"/>
    <x v="2"/>
    <s v="Congo"/>
    <x v="0"/>
    <x v="0"/>
    <m/>
  </r>
  <r>
    <x v="37"/>
    <s v="Achat credit  teléphonique Airtel/PALF/Deuxième partie du mois de Février 2025/Investigation"/>
    <s v="Telephone"/>
    <s v="Investigations"/>
    <x v="31"/>
    <x v="138"/>
    <n v="613.82180000000005"/>
    <s v="Merveille"/>
    <s v="CA-F-R25"/>
    <s v="PALF"/>
    <x v="2"/>
    <s v="Congo"/>
    <x v="0"/>
    <x v="0"/>
    <m/>
  </r>
  <r>
    <x v="37"/>
    <s v="Frais de transfert d'argent à T73,P29 et Abraham"/>
    <s v="Transfer Fees"/>
    <s v="Office"/>
    <x v="112"/>
    <x v="139"/>
    <n v="613.82180000000005"/>
    <s v="Parfaite"/>
    <s v="CA-F-R19"/>
    <s v="PALF"/>
    <x v="2"/>
    <s v="Congo"/>
    <x v="0"/>
    <x v="0"/>
    <m/>
  </r>
  <r>
    <x v="37"/>
    <s v="Cumul frais de trust building du mois de Février 2025/G12"/>
    <s v="Trust Building"/>
    <s v="Investigations"/>
    <x v="101"/>
    <x v="140"/>
    <n v="613.82180000000005"/>
    <s v="G12"/>
    <s v="G12-F-D2"/>
    <s v="PALF"/>
    <x v="2"/>
    <s v="Congo"/>
    <x v="0"/>
    <x v="0"/>
    <m/>
  </r>
  <r>
    <x v="37"/>
    <s v="Achat billet Madingou - brazzaville/G12"/>
    <s v="Transport"/>
    <s v="Investigations"/>
    <x v="12"/>
    <x v="125"/>
    <n v="613.82180000000005"/>
    <s v="G12"/>
    <s v="G12-F-R8"/>
    <s v="PALF"/>
    <x v="2"/>
    <s v="Congo"/>
    <x v="0"/>
    <x v="0"/>
    <m/>
  </r>
  <r>
    <x v="37"/>
    <s v="Achat Billet Brazzaville-Owando/Romain"/>
    <s v="Transport"/>
    <s v="Legal"/>
    <x v="12"/>
    <x v="125"/>
    <n v="613.82180000000005"/>
    <s v="Romain"/>
    <s v="RM-F-R4"/>
    <s v="PALF"/>
    <x v="2"/>
    <s v="Congo"/>
    <x v="0"/>
    <x v="0"/>
    <m/>
  </r>
  <r>
    <x v="37"/>
    <s v="Achat billet, Brazzaville-Owando/Evariste"/>
    <s v="Transport"/>
    <s v="Media"/>
    <x v="12"/>
    <x v="125"/>
    <n v="613.82180000000005"/>
    <s v="Evariste"/>
    <s v="EV-F-R1"/>
    <s v="PALF"/>
    <x v="2"/>
    <s v="Congo"/>
    <x v="0"/>
    <x v="0"/>
    <m/>
  </r>
  <r>
    <x v="37"/>
    <s v="Cumul frais de jail visits du mois de Février 2025/Roderlin"/>
    <s v="Jail visit"/>
    <s v="Operations"/>
    <x v="0"/>
    <x v="131"/>
    <n v="613.82180000000005"/>
    <s v="Roderlin"/>
    <s v="RO-F-D3"/>
    <s v="PALF"/>
    <x v="2"/>
    <s v="Congo"/>
    <x v="0"/>
    <x v="0"/>
    <m/>
  </r>
  <r>
    <x v="37"/>
    <s v="Achat billet Brazzaville - Madingou/ IT87"/>
    <s v="Transport"/>
    <s v="Investigations"/>
    <x v="12"/>
    <x v="125"/>
    <n v="613.82180000000005"/>
    <s v="IT87"/>
    <s v="IT87-F-R7"/>
    <s v="PALF"/>
    <x v="2"/>
    <s v="Congo"/>
    <x v="0"/>
    <x v="0"/>
    <m/>
  </r>
  <r>
    <x v="38"/>
    <s v="DOVI -CONGO Ration du 15 Février 2025 au 25 Février 2025 soit 10 nuitées"/>
    <s v="Travel Subsistence"/>
    <s v="Management"/>
    <x v="13"/>
    <x v="141"/>
    <n v="613.82180000000005"/>
    <s v="DOVI"/>
    <s v="DH-F-D1"/>
    <s v="PALF"/>
    <x v="2"/>
    <s v="Congo"/>
    <x v="0"/>
    <x v="0"/>
    <m/>
  </r>
  <r>
    <x v="38"/>
    <s v="CREPIN - CONGO Ration du 15/02/ au 05/03/2025 à Owando (18 nuitées)"/>
    <s v="Travel Subsistence"/>
    <s v="Legal"/>
    <x v="113"/>
    <x v="142"/>
    <n v="613.82180000000005"/>
    <s v="Crépin"/>
    <s v="CR-F-D1"/>
    <s v="PALF"/>
    <x v="2"/>
    <s v="Congo"/>
    <x v="0"/>
    <x v="0"/>
    <m/>
  </r>
  <r>
    <x v="38"/>
    <s v="IT87 - CONGO Ration du 15 au 22/02/2025 à Madingou, Mouyondzi et Loutété"/>
    <s v="Travel Subsistence"/>
    <s v="Investigations"/>
    <x v="21"/>
    <x v="143"/>
    <n v="613.82180000000005"/>
    <s v="IT87"/>
    <s v="IT87-F-D2"/>
    <s v="PALF"/>
    <x v="2"/>
    <s v="Congo"/>
    <x v="0"/>
    <x v="0"/>
    <m/>
  </r>
  <r>
    <x v="38"/>
    <s v="G12 CONGO frais d'hotel du 13 au 15 /02/2025(02 Nuitées)"/>
    <s v="Travel Subsistence"/>
    <s v="Investigations"/>
    <x v="44"/>
    <x v="135"/>
    <n v="613.82180000000005"/>
    <s v="G12"/>
    <s v="G12-F-R9"/>
    <s v="PALF"/>
    <x v="2"/>
    <s v="Congo"/>
    <x v="0"/>
    <x v="0"/>
    <m/>
  </r>
  <r>
    <x v="38"/>
    <s v="ROMAIN - CONGO Ration du 15/02/ au 04/03/2025 à Owando(14 Nuitées)"/>
    <s v="Travel Subsistence"/>
    <s v="Legal"/>
    <x v="105"/>
    <x v="144"/>
    <n v="613.82180000000005"/>
    <s v="Romain"/>
    <s v="RM-F-D2"/>
    <s v="PALF"/>
    <x v="2"/>
    <s v="Congo"/>
    <x v="0"/>
    <x v="0"/>
    <m/>
  </r>
  <r>
    <x v="38"/>
    <s v="ABRAHAM - CONGO frais d'Hôtel (Hôtel Case Mbali) du 12 au 15/02/2025 Owando (03Nuitées)"/>
    <s v="Travel Subsistence"/>
    <s v="Legal"/>
    <x v="22"/>
    <x v="145"/>
    <n v="613.82180000000005"/>
    <s v="Abraham"/>
    <s v="AB-F-R2"/>
    <s v="PALF"/>
    <x v="2"/>
    <s v="Congo"/>
    <x v="0"/>
    <x v="0"/>
    <m/>
  </r>
  <r>
    <x v="38"/>
    <s v="RODERLIN-CONGO frais d'hôtel du 13 au 15/02/2025 à Sibiti (02 nuitées)"/>
    <s v="Travel Subsistence"/>
    <s v="Legal"/>
    <x v="44"/>
    <x v="135"/>
    <n v="613.82180000000005"/>
    <s v="Roderlin"/>
    <s v="RO-F-R5"/>
    <s v="PALF"/>
    <x v="2"/>
    <s v="Congo"/>
    <x v="0"/>
    <x v="0"/>
    <m/>
  </r>
  <r>
    <x v="38"/>
    <s v="Taxi: Sibiti-Loudima /Roderlin"/>
    <s v="Transport"/>
    <s v="Legal"/>
    <x v="101"/>
    <x v="140"/>
    <n v="613.82180000000005"/>
    <s v="Roderlin"/>
    <s v="RO-F-R7"/>
    <s v="PALF"/>
    <x v="2"/>
    <s v="Congo"/>
    <x v="0"/>
    <x v="0"/>
    <m/>
  </r>
  <r>
    <x v="38"/>
    <s v="EVARISTE - CONGO Ration du 15 au 28 février 2025, mission d'Owando (13 nuitées)"/>
    <s v="Travel Subsistence"/>
    <s v="Media"/>
    <x v="114"/>
    <x v="146"/>
    <n v="613.82180000000005"/>
    <s v="Evariste"/>
    <s v="EV-F-D1"/>
    <s v="PALF"/>
    <x v="2"/>
    <s v="Congo"/>
    <x v="0"/>
    <x v="0"/>
    <m/>
  </r>
  <r>
    <x v="38"/>
    <s v="Achat billet Loudima-Brazzaville /Roderlin"/>
    <s v="Transport"/>
    <s v="Legal"/>
    <x v="12"/>
    <x v="125"/>
    <n v="613.82180000000005"/>
    <s v="Roderlin"/>
    <s v="RO-F-R8"/>
    <s v="PALF"/>
    <x v="2"/>
    <s v="Congo"/>
    <x v="0"/>
    <x v="0"/>
    <m/>
  </r>
  <r>
    <x v="39"/>
    <s v="Achat credit téléphonique pour P29/Appel trust à l'international"/>
    <s v="Telephone"/>
    <s v="Investigations"/>
    <x v="64"/>
    <x v="147"/>
    <n v="613.82180000000005"/>
    <s v="Merveille"/>
    <s v="CA-F-R26"/>
    <s v="PALF"/>
    <x v="2"/>
    <s v="Congo"/>
    <x v="0"/>
    <x v="0"/>
    <m/>
  </r>
  <r>
    <x v="40"/>
    <s v="Frais de transfert d'argent à Crepin"/>
    <s v="Transfer Fees"/>
    <s v="Office"/>
    <x v="94"/>
    <x v="148"/>
    <n v="613.82180000000005"/>
    <s v="Parfaite"/>
    <s v="CA-F-R27"/>
    <s v="PALF"/>
    <x v="2"/>
    <s v="Congo"/>
    <x v="0"/>
    <x v="0"/>
    <m/>
  </r>
  <r>
    <x v="40"/>
    <s v="IT87 - CONGO Frais d'hôtel Dzongo Bénoît du 15 au 18/02/2025 à Madingou (03 nuitées)"/>
    <s v="Travel Subsistence"/>
    <s v="Investigations"/>
    <x v="22"/>
    <x v="145"/>
    <n v="613.82180000000005"/>
    <s v="IT87"/>
    <s v="IT87-F-R8"/>
    <s v="PALF"/>
    <x v="2"/>
    <s v="Congo"/>
    <x v="0"/>
    <x v="0"/>
    <m/>
  </r>
  <r>
    <x v="40"/>
    <s v="Achat billet Madingou - Mouyondzi/ IT87"/>
    <s v="Transport"/>
    <s v="Investigations"/>
    <x v="101"/>
    <x v="140"/>
    <n v="613.82180000000005"/>
    <s v="IT87"/>
    <s v="IT87-F-R9"/>
    <s v="PALF"/>
    <x v="2"/>
    <s v="Congo"/>
    <x v="0"/>
    <x v="0"/>
    <m/>
  </r>
  <r>
    <x v="40"/>
    <s v="Frais de mission maitre BANZOUZI à Owando du 19 au 21/02/205 suivi audience cas MONICK"/>
    <s v="Lawyer Fees"/>
    <s v="Legal"/>
    <x v="21"/>
    <x v="143"/>
    <n v="613.82180000000005"/>
    <s v="Roderlin"/>
    <s v="CA-F-R28"/>
    <s v="PALF"/>
    <x v="2"/>
    <s v="Congo"/>
    <x v="0"/>
    <x v="0"/>
    <m/>
  </r>
  <r>
    <x v="41"/>
    <s v="Fonds envoyé à un informateur  en RDC pour des informations"/>
    <s v="Trust Building"/>
    <s v="Investigations"/>
    <x v="44"/>
    <x v="135"/>
    <n v="613.82180000000005"/>
    <s v="Merveille"/>
    <s v="CA-F-R29"/>
    <s v="PALF"/>
    <x v="2"/>
    <s v="Congo"/>
    <x v="0"/>
    <x v="0"/>
    <m/>
  </r>
  <r>
    <x v="41"/>
    <s v="Frais de transfert bonus à informateur"/>
    <s v="Transfer Fees"/>
    <s v="Office"/>
    <x v="110"/>
    <x v="149"/>
    <n v="579.25099999999998"/>
    <s v="Merveille"/>
    <s v="CA-F-R30"/>
    <s v="PALF"/>
    <x v="1"/>
    <s v="Congo"/>
    <x v="0"/>
    <x v="0"/>
    <m/>
  </r>
  <r>
    <x v="41"/>
    <s v="Frais de transfert d'argent à Abraham"/>
    <s v="Transfer Fees"/>
    <s v="Office"/>
    <x v="115"/>
    <x v="150"/>
    <n v="613.82180000000005"/>
    <s v="Parfaite"/>
    <s v="CA-F-R31"/>
    <s v="PALF"/>
    <x v="2"/>
    <s v="Congo"/>
    <x v="0"/>
    <x v="0"/>
    <m/>
  </r>
  <r>
    <x v="42"/>
    <s v="IT87 - CONGO Frais d'hôtel DZA MATSAKA du 18 au 20/02/2025 à Mouyondzi (02 nuitées)"/>
    <s v="Travel Subsistence"/>
    <s v="Investigations"/>
    <x v="44"/>
    <x v="135"/>
    <n v="613.82180000000005"/>
    <s v="IT87"/>
    <s v="IT87-F-R10"/>
    <s v="PALF"/>
    <x v="2"/>
    <s v="Congo"/>
    <x v="0"/>
    <x v="0"/>
    <m/>
  </r>
  <r>
    <x v="42"/>
    <s v="Achat billet Mouyondzi - Loutété/ IT87"/>
    <s v="Transport"/>
    <s v="Investigations"/>
    <x v="101"/>
    <x v="140"/>
    <n v="613.82180000000005"/>
    <s v="IT87"/>
    <s v="IT87-F-R11"/>
    <s v="PALF"/>
    <x v="2"/>
    <s v="Congo"/>
    <x v="0"/>
    <x v="0"/>
    <m/>
  </r>
  <r>
    <x v="42"/>
    <s v="ABRAHAM - CONGO frais d'Hôtel  du 15au 20/02/2025 Owando (05Nuitées)"/>
    <s v="Travel Subsistence"/>
    <s v="Legal"/>
    <x v="116"/>
    <x v="151"/>
    <n v="613.82180000000005"/>
    <s v="Abraham"/>
    <s v="AB-F-R5"/>
    <s v="PALF"/>
    <x v="2"/>
    <s v="Congo"/>
    <x v="0"/>
    <x v="0"/>
    <m/>
  </r>
  <r>
    <x v="43"/>
    <s v="Frais de transfert d'argent à T73,P29 et Abraham"/>
    <s v="Transfer Fees"/>
    <s v="Office"/>
    <x v="117"/>
    <x v="152"/>
    <n v="613.82180000000005"/>
    <s v="Roderlin"/>
    <s v="CA-F-R43"/>
    <s v="PALF"/>
    <x v="2"/>
    <s v="Congo"/>
    <x v="0"/>
    <x v="0"/>
    <m/>
  </r>
  <r>
    <x v="44"/>
    <s v="CREPIN - CONGO Hébergement à l'hôtel Essebo d'Owando, 07 Nuitées du 15 au 22/02/2025"/>
    <s v="Travel Subsistence"/>
    <s v="Legal"/>
    <x v="46"/>
    <x v="153"/>
    <n v="613.82180000000005"/>
    <s v="Crépin"/>
    <s v="CR-F-R2"/>
    <s v="PALF"/>
    <x v="2"/>
    <s v="Congo"/>
    <x v="0"/>
    <x v="0"/>
    <m/>
  </r>
  <r>
    <x v="44"/>
    <s v="T73 - CONGO Frais d'hotel du 10 au 22/02/2025 (12 nuitées ) à Owando"/>
    <s v="Travel Subsistence"/>
    <s v="Investigations"/>
    <x v="113"/>
    <x v="142"/>
    <n v="613.82180000000005"/>
    <s v="T73"/>
    <s v="T73-F-R5"/>
    <s v="PALF"/>
    <x v="2"/>
    <s v="Congo"/>
    <x v="0"/>
    <x v="0"/>
    <m/>
  </r>
  <r>
    <x v="44"/>
    <s v="IT87 - CONGO Frais d'hôtel Clair Matin du 20 au 22/02/2025 à Loutété (02 nuitées)"/>
    <s v="Travel Subsistence"/>
    <s v="Investigations"/>
    <x v="44"/>
    <x v="135"/>
    <n v="613.82180000000005"/>
    <s v="IT87"/>
    <s v="IT87-F-R12"/>
    <s v="PALF"/>
    <x v="2"/>
    <s v="Congo"/>
    <x v="0"/>
    <x v="0"/>
    <m/>
  </r>
  <r>
    <x v="44"/>
    <s v="Achat billet Loutété - Brazzaville/ IT87"/>
    <s v="Transport"/>
    <s v="Investigations"/>
    <x v="12"/>
    <x v="125"/>
    <n v="613.82180000000005"/>
    <s v="IT87"/>
    <s v="IT87-F-R13"/>
    <s v="PALF"/>
    <x v="2"/>
    <s v="Congo"/>
    <x v="0"/>
    <x v="0"/>
    <m/>
  </r>
  <r>
    <x v="45"/>
    <s v="Cumul frais de trust building du mois de Février 2025/T73"/>
    <s v="Trust Building"/>
    <s v="Investigations"/>
    <x v="118"/>
    <x v="154"/>
    <n v="613.82180000000005"/>
    <s v="T73"/>
    <s v="T73-F-D2"/>
    <s v="PALF"/>
    <x v="2"/>
    <s v="Congo"/>
    <x v="0"/>
    <x v="0"/>
    <m/>
  </r>
  <r>
    <x v="46"/>
    <s v="Plats et raffraichissements"/>
    <s v="Travel Subsistence"/>
    <s v="Operations"/>
    <x v="119"/>
    <x v="155"/>
    <n v="613.82180000000005"/>
    <s v="Crépin"/>
    <s v="CR-F-R3"/>
    <s v="PALF"/>
    <x v="2"/>
    <s v="Congo"/>
    <x v="0"/>
    <x v="0"/>
    <m/>
  </r>
  <r>
    <x v="46"/>
    <s v="01 bidon d'eau de 10 litres pour les OPJ sous instruction du Coordinateur"/>
    <s v="Office Materials"/>
    <s v="Operations"/>
    <x v="120"/>
    <x v="156"/>
    <n v="613.82180000000005"/>
    <s v="Crépin"/>
    <s v="CR-F-D2"/>
    <s v="PALF"/>
    <x v="2"/>
    <s v="Congo"/>
    <x v="0"/>
    <x v="0"/>
    <m/>
  </r>
  <r>
    <x v="46"/>
    <s v="Achat credit téléphonique pour le coordinateur"/>
    <s v="Telephone"/>
    <s v="Management"/>
    <x v="31"/>
    <x v="138"/>
    <n v="613.82180000000005"/>
    <s v="Merveille"/>
    <s v="CA-F-R34"/>
    <s v="PALF"/>
    <x v="2"/>
    <s v="Congo"/>
    <x v="0"/>
    <x v="0"/>
    <m/>
  </r>
  <r>
    <x v="46"/>
    <s v="P29 - CONGO Frais hotel du 10 au 24/02/2025 à owando/(14 Nuitées)"/>
    <s v="Travel Subsistence"/>
    <s v="Investigations"/>
    <x v="121"/>
    <x v="157"/>
    <n v="613.82180000000005"/>
    <s v="P29"/>
    <s v="P29-F-R8"/>
    <s v="PALF"/>
    <x v="2"/>
    <s v="Congo"/>
    <x v="0"/>
    <x v="0"/>
    <m/>
  </r>
  <r>
    <x v="46"/>
    <s v="Location véhicule extraction owando-oyo/P29"/>
    <s v="Transport"/>
    <s v="Operations"/>
    <x v="30"/>
    <x v="158"/>
    <n v="613.82180000000005"/>
    <s v="P29"/>
    <s v="P29-F-R9"/>
    <s v="PALF"/>
    <x v="2"/>
    <s v="Congo"/>
    <x v="0"/>
    <x v="0"/>
    <m/>
  </r>
  <r>
    <x v="46"/>
    <s v="Locaation vehicule 1 pour extraction  du stade à la vouma/P29"/>
    <s v="Transport"/>
    <s v="Operations"/>
    <x v="37"/>
    <x v="159"/>
    <n v="613.82180000000005"/>
    <s v="P29"/>
    <s v="P29-F-R10"/>
    <s v="PALF"/>
    <x v="2"/>
    <s v="Congo"/>
    <x v="0"/>
    <x v="0"/>
    <m/>
  </r>
  <r>
    <x v="46"/>
    <s v="Locaation vehicule 2  pour extraction de la vouma station AOGC/P29"/>
    <s v="Transport"/>
    <s v="Operations"/>
    <x v="37"/>
    <x v="159"/>
    <n v="613.82180000000005"/>
    <s v="P29"/>
    <s v="P29-F-R11"/>
    <s v="PALF"/>
    <x v="2"/>
    <s v="Congo"/>
    <x v="0"/>
    <x v="0"/>
    <m/>
  </r>
  <r>
    <x v="46"/>
    <s v="Rafraichissement en attente opération "/>
    <s v="Travel Subsistence"/>
    <s v="Operations"/>
    <x v="122"/>
    <x v="160"/>
    <n v="613.82180000000005"/>
    <s v="Romain"/>
    <s v="RM-F-R5"/>
    <s v="PALF"/>
    <x v="2"/>
    <s v="Congo"/>
    <x v="0"/>
    <x v="0"/>
    <m/>
  </r>
  <r>
    <x v="46"/>
    <s v="Carburant BJ Opération"/>
    <s v="Transport"/>
    <s v="Operations"/>
    <x v="7"/>
    <x v="161"/>
    <n v="613.82180000000005"/>
    <s v="Romain"/>
    <s v="RM-F-R6"/>
    <s v="PALF"/>
    <x v="2"/>
    <s v="Congo"/>
    <x v="0"/>
    <x v="0"/>
    <m/>
  </r>
  <r>
    <x v="46"/>
    <s v="Rafraîchissement attente OP"/>
    <s v="Travel Subsistence"/>
    <s v="Legal"/>
    <x v="123"/>
    <x v="162"/>
    <n v="613.82180000000005"/>
    <s v="Abraham"/>
    <s v="AB-F-R3"/>
    <s v="PALF"/>
    <x v="2"/>
    <s v="Congo"/>
    <x v="0"/>
    <x v="0"/>
    <m/>
  </r>
  <r>
    <x v="46"/>
    <s v="Frais de transfert charden farell à Abraham (pour le compte de DOVI et Crépin)"/>
    <s v="Transfer Fees"/>
    <s v="Office"/>
    <x v="26"/>
    <x v="163"/>
    <n v="613.82180000000005"/>
    <s v="Roderlin"/>
    <s v="CA-F-R33"/>
    <s v="PALF"/>
    <x v="2"/>
    <s v="Congo"/>
    <x v="0"/>
    <x v="0"/>
    <m/>
  </r>
  <r>
    <x v="46"/>
    <s v="Rafraichissement de mon équipe lors de l'opération"/>
    <s v="Travel Subsistence"/>
    <s v="Operations"/>
    <x v="124"/>
    <x v="164"/>
    <n v="613.82180000000005"/>
    <s v="Evariste"/>
    <s v="EV-F-D2"/>
    <s v="PALF"/>
    <x v="2"/>
    <s v="Congo"/>
    <x v="0"/>
    <x v="0"/>
    <m/>
  </r>
  <r>
    <x v="47"/>
    <s v="Achat billet Owando -Brazzaville/DOVI"/>
    <s v="Transport"/>
    <s v="Management"/>
    <x v="12"/>
    <x v="125"/>
    <n v="613.82180000000005"/>
    <s v="DOVI"/>
    <s v="DH-F-R4"/>
    <s v="PALF"/>
    <x v="2"/>
    <s v="Congo"/>
    <x v="0"/>
    <x v="0"/>
    <m/>
  </r>
  <r>
    <x v="47"/>
    <s v="DOVI-CONGO Frais d'hôtel du 15 Février 2025 au 25 Février 2025 soit 10 nuitées à Owando(Hôtel Savouret)"/>
    <s v="Travel Subsistence"/>
    <s v="Management"/>
    <x v="11"/>
    <x v="165"/>
    <n v="613.82180000000005"/>
    <s v="DOVI"/>
    <s v="DH-F-R5"/>
    <s v="PALF"/>
    <x v="2"/>
    <s v="Congo"/>
    <x v="0"/>
    <x v="0"/>
    <m/>
  </r>
  <r>
    <x v="47"/>
    <s v="Bonus pour 18 Gendarmes ayant participé à l'opération du 24/02/2025  à Owando"/>
    <s v="Bonus"/>
    <s v="Operations"/>
    <x v="113"/>
    <x v="142"/>
    <n v="613.82180000000005"/>
    <s v="Crépin"/>
    <s v="CR-F-R4"/>
    <s v="PALF"/>
    <x v="2"/>
    <s v="Congo"/>
    <x v="0"/>
    <x v="0"/>
    <m/>
  </r>
  <r>
    <x v="47"/>
    <s v="Bonus pour 02 EF ayant participé à l'opération du 24/02/2025  à Owando"/>
    <s v="Bonus"/>
    <s v="Operations"/>
    <x v="0"/>
    <x v="131"/>
    <n v="613.82180000000005"/>
    <s v="Crépin"/>
    <s v="CR-F-R5"/>
    <s v="PALF"/>
    <x v="2"/>
    <s v="Congo"/>
    <x v="0"/>
    <x v="0"/>
    <m/>
  </r>
  <r>
    <x v="47"/>
    <s v="P29 - CONGO Frais de Location d'appartement pour op à owando du 22 au 25/02/2025  (occupé par crepin)/03 Nuitées"/>
    <s v="Travel Subsistence"/>
    <s v="Operations"/>
    <x v="46"/>
    <x v="166"/>
    <n v="579.25099999999998"/>
    <s v="P29"/>
    <s v="P29-F-R12"/>
    <s v="PALF"/>
    <x v="1"/>
    <s v="Congo"/>
    <x v="0"/>
    <x v="0"/>
    <m/>
  </r>
  <r>
    <x v="47"/>
    <s v="P29 - CONGO Frais de location d'appartement pour op à Owando du 22 au 25/02/2025  (occupé par T73)/03 Nuitées"/>
    <s v="Travel Subsistence"/>
    <s v="Operations"/>
    <x v="46"/>
    <x v="166"/>
    <n v="579.25099999999998"/>
    <s v="P29"/>
    <s v="P29-F-R13"/>
    <s v="PALF"/>
    <x v="1"/>
    <s v="Congo"/>
    <x v="0"/>
    <x v="0"/>
    <m/>
  </r>
  <r>
    <x v="47"/>
    <s v="Achat billet Brazzaville - Loutété/ IT87"/>
    <s v="Transport"/>
    <s v="Investigations"/>
    <x v="12"/>
    <x v="125"/>
    <n v="613.82180000000005"/>
    <s v="IT87"/>
    <s v="IT87-F-R14"/>
    <s v="PALF"/>
    <x v="2"/>
    <s v="Congo"/>
    <x v="0"/>
    <x v="0"/>
    <m/>
  </r>
  <r>
    <x v="47"/>
    <s v="ROMAIN - CONGO - Frais d'hôtel du 15 au 25/02/2025 à Owando(10 Nuitées)"/>
    <s v="Travel Subsistence"/>
    <s v="Legal"/>
    <x v="11"/>
    <x v="165"/>
    <n v="613.82180000000005"/>
    <s v="Romain"/>
    <s v="RM-F-R8"/>
    <s v="PALF"/>
    <x v="2"/>
    <s v="Congo"/>
    <x v="0"/>
    <x v="0"/>
    <m/>
  </r>
  <r>
    <x v="47"/>
    <s v="EVARISTE - CONGO Frais de l'hôtel du 15 au 25 février 2025 à Owando (10 nuitées)"/>
    <s v="Travel Subsistence"/>
    <s v="Media"/>
    <x v="11"/>
    <x v="165"/>
    <n v="613.82180000000005"/>
    <s v="Evariste"/>
    <s v="EV-F-R2"/>
    <s v="PALF"/>
    <x v="2"/>
    <s v="Congo"/>
    <x v="0"/>
    <x v="0"/>
    <m/>
  </r>
  <r>
    <x v="48"/>
    <s v="Frais de mission à Owando de maitre Alain du 27/02 au 04/03/2025"/>
    <s v="Lawyer Fees"/>
    <s v="Legal"/>
    <x v="83"/>
    <x v="167"/>
    <n v="613.82180000000005"/>
    <s v="Merveille"/>
    <s v="CA-F-R35"/>
    <s v="PALF"/>
    <x v="2"/>
    <s v="Congo"/>
    <x v="0"/>
    <x v="0"/>
    <m/>
  </r>
  <r>
    <x v="48"/>
    <s v="Frais de transfert d'argent à Abraham"/>
    <s v="Transfer Fees"/>
    <s v="Office"/>
    <x v="125"/>
    <x v="168"/>
    <n v="613.82180000000005"/>
    <s v="Parfaite"/>
    <s v="CA-F-R44"/>
    <s v="PALF"/>
    <x v="2"/>
    <s v="Congo"/>
    <x v="0"/>
    <x v="0"/>
    <m/>
  </r>
  <r>
    <x v="48"/>
    <s v="IT87 - CONGO Ration  du 26 au 28/02/2025 à Loutété"/>
    <s v="Travel Subsistence"/>
    <s v="Investigations"/>
    <x v="0"/>
    <x v="131"/>
    <n v="613.82180000000005"/>
    <s v="IT87"/>
    <s v="IT87-F-D3"/>
    <s v="PALF"/>
    <x v="2"/>
    <s v="Congo"/>
    <x v="0"/>
    <x v="0"/>
    <m/>
  </r>
  <r>
    <x v="48"/>
    <s v="Cumul frais de transport local du mois Février 2025/G12"/>
    <s v="Transport"/>
    <s v="Investigations"/>
    <x v="126"/>
    <x v="169"/>
    <n v="613.82180000000005"/>
    <s v="G12"/>
    <s v="G12-F-D3"/>
    <s v="PALF"/>
    <x v="2"/>
    <s v="Congo"/>
    <x v="0"/>
    <x v="0"/>
    <m/>
  </r>
  <r>
    <x v="48"/>
    <s v="Achat médicaments du prévenu Dodo"/>
    <s v="Jail visit"/>
    <s v="Operations"/>
    <x v="101"/>
    <x v="170"/>
    <n v="579.25099999999998"/>
    <s v="Abraham"/>
    <s v="AB-F-R4"/>
    <s v="PALF"/>
    <x v="1"/>
    <s v="Congo"/>
    <x v="0"/>
    <x v="0"/>
    <m/>
  </r>
  <r>
    <x v="49"/>
    <s v="Reglement prestation de nettoyage jardin PALF du mois de Février 2025"/>
    <s v="Services"/>
    <s v="Office"/>
    <x v="0"/>
    <x v="171"/>
    <n v="579.25099999999998"/>
    <s v="Merveille"/>
    <s v="CA-F-R36"/>
    <s v="PALF"/>
    <x v="1"/>
    <s v="Congo"/>
    <x v="0"/>
    <x v="0"/>
    <m/>
  </r>
  <r>
    <x v="49"/>
    <s v="Cumul frais de Trust building du mois de Février 2025/IT87"/>
    <s v="Trust Building"/>
    <s v="Investigations"/>
    <x v="127"/>
    <x v="172"/>
    <n v="579.25099999999998"/>
    <s v="IT87"/>
    <s v="IT87-F-D4"/>
    <s v="PALF"/>
    <x v="1"/>
    <s v="Congo"/>
    <x v="0"/>
    <x v="0"/>
    <m/>
  </r>
  <r>
    <x v="49"/>
    <s v="Cumul frais de transport local du mois de Février 2025/Roderlin"/>
    <s v="Transport"/>
    <s v="Legal"/>
    <x v="128"/>
    <x v="173"/>
    <n v="579.25099999999998"/>
    <s v="Roderlin"/>
    <s v="RO-F-D4"/>
    <s v="PALF"/>
    <x v="1"/>
    <s v="Congo"/>
    <x v="0"/>
    <x v="0"/>
    <m/>
  </r>
  <r>
    <x v="49"/>
    <s v="Frais de transfert d'argent à IT87"/>
    <s v="Transfer Fees"/>
    <s v="Office"/>
    <x v="129"/>
    <x v="174"/>
    <n v="596.19299999999998"/>
    <s v="Roderlin"/>
    <s v="CA-F-R37"/>
    <s v="PALF"/>
    <x v="0"/>
    <s v="Congo"/>
    <x v="0"/>
    <x v="0"/>
    <m/>
  </r>
  <r>
    <x v="49"/>
    <s v="Cumul frais de transport local du mois de Février 2025/Parfaite"/>
    <s v="Transport"/>
    <s v="Office"/>
    <x v="12"/>
    <x v="53"/>
    <n v="579.25099999999998"/>
    <s v="Parfaite"/>
    <s v="P-F-D1"/>
    <s v="PALF"/>
    <x v="1"/>
    <s v="Congo"/>
    <x v="0"/>
    <x v="0"/>
    <m/>
  </r>
  <r>
    <x v="50"/>
    <s v="Cumul frais de transport local du mois de Février 2025/DOVI"/>
    <s v="Transport"/>
    <s v="Management"/>
    <x v="102"/>
    <x v="175"/>
    <n v="579.25099999999998"/>
    <s v="DOVI"/>
    <s v="DH-F-D2"/>
    <s v="PALF"/>
    <x v="1"/>
    <s v="Congo"/>
    <x v="0"/>
    <x v="0"/>
    <m/>
  </r>
  <r>
    <x v="50"/>
    <s v="Cumul frais de transport local du mois de Février 2025/Crepin IBOUILI IBOUILI"/>
    <s v="Transport"/>
    <s v="Legal"/>
    <x v="130"/>
    <x v="176"/>
    <n v="579.25099999999998"/>
    <s v="Crépin"/>
    <s v="CR-F-D3"/>
    <s v="PALF"/>
    <x v="1"/>
    <s v="Congo"/>
    <x v="0"/>
    <x v="0"/>
    <m/>
  </r>
  <r>
    <x v="50"/>
    <s v="Cumul frais de transport local du mois de Février 2025/Merveille"/>
    <s v="Transport"/>
    <s v="Office"/>
    <x v="131"/>
    <x v="177"/>
    <n v="579.25099999999998"/>
    <s v="Merveille"/>
    <s v="ME-F-D1"/>
    <s v="PALF"/>
    <x v="1"/>
    <s v="Congo"/>
    <x v="0"/>
    <x v="0"/>
    <m/>
  </r>
  <r>
    <x v="50"/>
    <s v="Ramassage ordure du mois Février 2025/Bureau PALF"/>
    <s v="Services"/>
    <s v="Office"/>
    <x v="63"/>
    <x v="178"/>
    <n v="579.25099999999998"/>
    <s v="Merveille"/>
    <s v="CA-F-R38"/>
    <s v="PALF"/>
    <x v="1"/>
    <s v="Congo"/>
    <x v="0"/>
    <x v="0"/>
    <m/>
  </r>
  <r>
    <x v="50"/>
    <s v="Reglement facture internet periode du 01/03 au 31/03/2025 bureau PALF"/>
    <s v="Internet"/>
    <s v="Office"/>
    <x v="87"/>
    <x v="179"/>
    <n v="579.25099999999998"/>
    <s v="Merveille"/>
    <s v="CA-F-R39"/>
    <s v="PALF"/>
    <x v="1"/>
    <s v="Congo"/>
    <x v="0"/>
    <x v="0"/>
    <m/>
  </r>
  <r>
    <x v="50"/>
    <s v="Achat fourniture de bureau/Classeurs,stylo,intercalaire,rame papier,surligneur,chemise cartonnée"/>
    <s v="Office Materials"/>
    <s v="Office"/>
    <x v="132"/>
    <x v="180"/>
    <n v="579.25099999999998"/>
    <s v="Merveille"/>
    <s v="CA-F-R41"/>
    <s v="PALF"/>
    <x v="1"/>
    <s v="Congo"/>
    <x v="0"/>
    <x v="0"/>
    <m/>
  </r>
  <r>
    <x v="50"/>
    <s v="Frais de carte de travail Parfaite"/>
    <s v="Personnel"/>
    <s v="Office"/>
    <x v="119"/>
    <x v="181"/>
    <n v="579.25099999999998"/>
    <s v="Merveille"/>
    <s v="CA-F-R42"/>
    <s v="PALF"/>
    <x v="1"/>
    <s v="Congo"/>
    <x v="0"/>
    <x v="0"/>
    <m/>
  </r>
  <r>
    <x v="50"/>
    <s v="Frais de transfert d'argent à Romain"/>
    <s v="Transfer Fees"/>
    <s v="Office"/>
    <x v="133"/>
    <x v="182"/>
    <n v="579.25099999999998"/>
    <s v="Parfaite"/>
    <s v="CA-F-R45"/>
    <s v="PALF"/>
    <x v="1"/>
    <s v="Congo"/>
    <x v="0"/>
    <x v="0"/>
    <m/>
  </r>
  <r>
    <x v="50"/>
    <s v="Règlement prestation technicienne de surface (mois de Février 2025)"/>
    <s v="Services"/>
    <s v="Office"/>
    <x v="73"/>
    <x v="183"/>
    <n v="579.25099999999998"/>
    <s v="Parfaite"/>
    <s v="CA-F-R40"/>
    <s v="PALF"/>
    <x v="1"/>
    <s v="Congo"/>
    <x v="0"/>
    <x v="0"/>
    <m/>
  </r>
  <r>
    <x v="50"/>
    <s v="Achat billet billet oyo-brazzaville/P29"/>
    <s v="Transport"/>
    <s v="Investigations"/>
    <x v="63"/>
    <x v="178"/>
    <n v="579.25099999999998"/>
    <s v="P29"/>
    <s v="P29-F-R14"/>
    <s v="PALF"/>
    <x v="1"/>
    <s v="Congo"/>
    <x v="0"/>
    <x v="0"/>
    <m/>
  </r>
  <r>
    <x v="50"/>
    <s v="P29 - CONGO Frais d'hotel du 24 au 28/02/2025  à Oyo(04 Nuitées)"/>
    <s v="Travel Subsistence"/>
    <s v="Investigations"/>
    <x v="23"/>
    <x v="184"/>
    <n v="579.25099999999998"/>
    <s v="P29"/>
    <s v="P29-F-R15"/>
    <s v="PALF"/>
    <x v="1"/>
    <s v="Congo"/>
    <x v="0"/>
    <x v="0"/>
    <m/>
  </r>
  <r>
    <x v="50"/>
    <s v="Cumul frais de transport local du mois de Février 2025/P29"/>
    <s v="Transport"/>
    <s v="Investigations"/>
    <x v="134"/>
    <x v="185"/>
    <n v="579.25099999999998"/>
    <s v="P29"/>
    <s v="P29-F-D3"/>
    <s v="PALF"/>
    <x v="1"/>
    <s v="Congo"/>
    <x v="0"/>
    <x v="0"/>
    <m/>
  </r>
  <r>
    <x v="50"/>
    <s v="T73 - CONGO Frais d'hotel du 24 au 28/02/2025 (04 nuitées ) à Oyo"/>
    <s v="Travel Subsistence"/>
    <s v="Investigations"/>
    <x v="23"/>
    <x v="184"/>
    <n v="579.25099999999998"/>
    <s v="T73"/>
    <s v="T73-F-R6"/>
    <s v="PALF"/>
    <x v="1"/>
    <s v="Congo"/>
    <x v="0"/>
    <x v="0"/>
    <m/>
  </r>
  <r>
    <x v="50"/>
    <s v="Achat billet : Oyo - Brazzaville /T73"/>
    <s v="Transport"/>
    <s v="Investigations"/>
    <x v="63"/>
    <x v="178"/>
    <n v="579.25099999999998"/>
    <s v="T73"/>
    <s v="T73-F-R7"/>
    <s v="PALF"/>
    <x v="1"/>
    <s v="Congo"/>
    <x v="0"/>
    <x v="0"/>
    <m/>
  </r>
  <r>
    <x v="50"/>
    <s v="Cumul frais de transport local du mois de Février 2025/T73"/>
    <s v="Transport"/>
    <s v="Investigations"/>
    <x v="135"/>
    <x v="186"/>
    <n v="579.25099999999998"/>
    <s v="T73"/>
    <s v="T73-F-D3"/>
    <s v="PALF"/>
    <x v="1"/>
    <s v="Congo"/>
    <x v="0"/>
    <x v="0"/>
    <m/>
  </r>
  <r>
    <x v="50"/>
    <s v="IT87 - CONGO Frais d'hôtel Clair Matin du 26 au 28/02/2025 à Loutété (02 nuitées)"/>
    <s v="Travel Subsistence"/>
    <s v="Investigations"/>
    <x v="44"/>
    <x v="187"/>
    <n v="579.25099999999998"/>
    <s v="IT87"/>
    <s v="IT87-F-R15"/>
    <s v="PALF"/>
    <x v="1"/>
    <s v="Congo"/>
    <x v="0"/>
    <x v="0"/>
    <m/>
  </r>
  <r>
    <x v="50"/>
    <s v="Achat billet Loutété - Brazzaville/ IT87"/>
    <s v="Transport"/>
    <s v="Investigations"/>
    <x v="12"/>
    <x v="188"/>
    <n v="579.25099999999998"/>
    <s v="IT87"/>
    <s v="IT87-F-R16"/>
    <s v="PALF"/>
    <x v="1"/>
    <s v="Congo"/>
    <x v="0"/>
    <x v="0"/>
    <m/>
  </r>
  <r>
    <x v="50"/>
    <s v="Cumul frais de Transport local du mois de Février 2025/IT87"/>
    <s v="Transport"/>
    <s v="Investigations"/>
    <x v="136"/>
    <x v="189"/>
    <n v="579.25099999999998"/>
    <s v="IT87"/>
    <s v="IT87-F-D5"/>
    <s v="PALF"/>
    <x v="1"/>
    <s v="Congo"/>
    <x v="0"/>
    <x v="0"/>
    <m/>
  </r>
  <r>
    <x v="50"/>
    <s v="Impréssion de la procédure de la Gendarmerie"/>
    <s v="Office Materials"/>
    <s v="Legal"/>
    <x v="50"/>
    <x v="190"/>
    <n v="579.25099999999998"/>
    <s v="Romain"/>
    <s v="RM-F-R7"/>
    <s v="PALF"/>
    <x v="1"/>
    <s v="Congo"/>
    <x v="0"/>
    <x v="0"/>
    <m/>
  </r>
  <r>
    <x v="50"/>
    <s v="Cumul frais de transport local du mois de Février 2025/Romain"/>
    <s v="Transport"/>
    <s v="Legal"/>
    <x v="131"/>
    <x v="177"/>
    <n v="579.25099999999998"/>
    <s v="Romain"/>
    <s v="RM-F-D3"/>
    <s v="PALF"/>
    <x v="1"/>
    <s v="Congo"/>
    <x v="0"/>
    <x v="0"/>
    <m/>
  </r>
  <r>
    <x v="50"/>
    <s v="Cumul frais de jail visits du mois de Février 2025/Abraham"/>
    <s v="Jail visit"/>
    <s v="Operations"/>
    <x v="122"/>
    <x v="191"/>
    <n v="579.25099999999998"/>
    <s v="Abraham"/>
    <s v="AB-F-D2"/>
    <s v="PALF"/>
    <x v="1"/>
    <s v="Congo"/>
    <x v="0"/>
    <x v="0"/>
    <m/>
  </r>
  <r>
    <x v="50"/>
    <s v="Cumul frais de transport local du mois de Février 2025/Abraham"/>
    <s v="Transport"/>
    <s v="Legal"/>
    <x v="22"/>
    <x v="192"/>
    <n v="579.25099999999998"/>
    <s v="Abraham"/>
    <s v="AB-F-D3"/>
    <s v="PALF"/>
    <x v="1"/>
    <s v="Congo"/>
    <x v="0"/>
    <x v="0"/>
    <m/>
  </r>
  <r>
    <x v="50"/>
    <s v="EVARISTE - CONGO Frais de l'hôtel du 25 au 28 février 2025 (3 nuitées) "/>
    <s v="Travel Subsistence"/>
    <s v="Media"/>
    <x v="22"/>
    <x v="192"/>
    <n v="579.25099999999998"/>
    <s v="Evariste"/>
    <s v="EV-F-R3"/>
    <s v="PALF"/>
    <x v="1"/>
    <s v="Congo"/>
    <x v="0"/>
    <x v="0"/>
    <m/>
  </r>
  <r>
    <x v="50"/>
    <s v="Achat billet Owando-Brazzaville/Evariste"/>
    <s v="Transport"/>
    <s v="Media"/>
    <x v="12"/>
    <x v="188"/>
    <n v="579.25099999999998"/>
    <s v="Evariste"/>
    <s v="EV-F-R4"/>
    <s v="PALF"/>
    <x v="1"/>
    <s v="Congo"/>
    <x v="0"/>
    <x v="0"/>
    <m/>
  </r>
  <r>
    <x v="50"/>
    <s v="Cumul frais de transport local du mois de Février 2025/Evariste"/>
    <s v="Transport"/>
    <s v="Media"/>
    <x v="81"/>
    <x v="193"/>
    <n v="579.25099999999998"/>
    <s v="Evariste"/>
    <s v="EV-F-D3"/>
    <s v="PALF"/>
    <x v="1"/>
    <s v="Congo"/>
    <x v="0"/>
    <x v="0"/>
    <m/>
  </r>
  <r>
    <x v="50"/>
    <s v="Bonus media portant sur l'interpellation de deux présumé trafiquants le 24/02/2025 à Owando"/>
    <s v="Bonus to media officer"/>
    <s v="Media"/>
    <x v="58"/>
    <x v="194"/>
    <n v="579.25099999999998"/>
    <s v="Evariste"/>
    <s v="CA-F-D13"/>
    <s v="PALF"/>
    <x v="1"/>
    <s v="Congo"/>
    <x v="0"/>
    <x v="0"/>
    <m/>
  </r>
  <r>
    <x v="51"/>
    <s v="CREPIN - CONGO Hébergement à l'hôtel Case Mbali d'Owando, 05 Nuitées du 24/02/ au 01/03/2025 "/>
    <s v="Travel Subsistence"/>
    <s v="Legal"/>
    <x v="116"/>
    <x v="195"/>
    <n v="579.25099999999998"/>
    <s v="Crépin"/>
    <s v="CR-M-R1"/>
    <s v="PALF"/>
    <x v="1"/>
    <s v="Congo"/>
    <x v="0"/>
    <x v="0"/>
    <m/>
  </r>
  <r>
    <x v="51"/>
    <s v="Achat billet Owando-Brazzaville(Trans bony)/Abraham"/>
    <s v="Transport"/>
    <s v="Legal"/>
    <x v="12"/>
    <x v="196"/>
    <n v="579.25099999999998"/>
    <s v="Abraham"/>
    <s v="AB-M-R1"/>
    <s v="PALF"/>
    <x v="1"/>
    <s v="Congo"/>
    <x v="0"/>
    <x v="0"/>
    <m/>
  </r>
  <r>
    <x v="51"/>
    <s v="ABRAHAM - CONGO frais d'Hôtel (Hôtel Case Mbali) du 20/02/2025 au 01/03/2025 Owando (09Nuitées)"/>
    <s v="Travel Subsistence"/>
    <s v="Legal"/>
    <x v="137"/>
    <x v="197"/>
    <n v="579.25099999999998"/>
    <s v="Abraham"/>
    <s v="AB-M-R2"/>
    <s v="PALF"/>
    <x v="1"/>
    <s v="Congo"/>
    <x v="0"/>
    <x v="0"/>
    <m/>
  </r>
  <r>
    <x v="52"/>
    <s v="Achat credit  teléphonique MTN/PALF/Première partie du mois de Mars2025/Management"/>
    <s v="Telephone"/>
    <s v="Management"/>
    <x v="138"/>
    <x v="198"/>
    <n v="579.25099999999998"/>
    <s v="Merveille"/>
    <s v="CA-M-R1"/>
    <s v="PALF"/>
    <x v="1"/>
    <s v="Congo"/>
    <x v="0"/>
    <x v="0"/>
    <m/>
  </r>
  <r>
    <x v="52"/>
    <s v="Achat credit  teléphonique MTN/PALF/Première partie du mois de Mars 2025/Legal"/>
    <s v="Telephone"/>
    <s v="Legal"/>
    <x v="93"/>
    <x v="199"/>
    <n v="579.25099999999998"/>
    <s v="Merveille"/>
    <s v="CA-M-R2"/>
    <s v="PALF"/>
    <x v="1"/>
    <s v="Congo"/>
    <x v="0"/>
    <x v="0"/>
    <m/>
  </r>
  <r>
    <x v="52"/>
    <s v="Achat credit  teléphonique MTN/PALF/Première partie du mois de Mars 2025/Investigation"/>
    <s v="Telephone"/>
    <s v="Investigations"/>
    <x v="3"/>
    <x v="200"/>
    <n v="579.25099999999998"/>
    <s v="Merveille"/>
    <s v="CA-M-R3"/>
    <s v="PALF"/>
    <x v="1"/>
    <s v="Congo"/>
    <x v="0"/>
    <x v="0"/>
    <m/>
  </r>
  <r>
    <x v="52"/>
    <s v="Achat credit  teléphonique MTN/PALF/Première partie du mois de Mars 2025/Media"/>
    <s v="Telephone"/>
    <s v="Media"/>
    <x v="4"/>
    <x v="201"/>
    <n v="579.25099999999998"/>
    <s v="Merveille"/>
    <s v="CA-M-R4"/>
    <s v="PALF"/>
    <x v="1"/>
    <s v="Congo"/>
    <x v="0"/>
    <x v="0"/>
    <m/>
  </r>
  <r>
    <x v="52"/>
    <s v="Achat credit  teléphonique Airtel/PALF/Première partie du mois de Mars 2025/Legal"/>
    <s v="Telephone"/>
    <s v="Legal"/>
    <x v="4"/>
    <x v="201"/>
    <n v="579.25099999999998"/>
    <s v="Merveille"/>
    <s v="CA-M-R5"/>
    <s v="PALF"/>
    <x v="1"/>
    <s v="Congo"/>
    <x v="0"/>
    <x v="0"/>
    <m/>
  </r>
  <r>
    <x v="52"/>
    <s v="Achat credit  teléphonique Airtel/PALF/Première partie du mois de Mars 2025/Investigation"/>
    <s v="Telephone"/>
    <s v="Investigations"/>
    <x v="5"/>
    <x v="202"/>
    <n v="579.25099999999998"/>
    <s v="Merveille"/>
    <s v="CA-M-R6"/>
    <s v="PALF"/>
    <x v="1"/>
    <s v="Congo"/>
    <x v="0"/>
    <x v="0"/>
    <m/>
  </r>
  <r>
    <x v="52"/>
    <s v="Achat credit  teléphonique Airtel/PALF/Première partie du mois de Mars 2025/Media"/>
    <s v="Telephone"/>
    <s v="Media"/>
    <x v="6"/>
    <x v="203"/>
    <n v="579.25099999999998"/>
    <s v="Merveille"/>
    <s v="CA-M-R7"/>
    <s v="PALF"/>
    <x v="1"/>
    <s v="Congo"/>
    <x v="0"/>
    <x v="0"/>
    <m/>
  </r>
  <r>
    <x v="52"/>
    <s v="Achat 01 telephone Tecno POP 7/ 64GB et 4ROM pour Abraham"/>
    <s v="Equipment"/>
    <s v="Legal"/>
    <x v="139"/>
    <x v="204"/>
    <n v="579.25099999999998"/>
    <s v="Merveille"/>
    <s v="CA-M-R8"/>
    <s v="PALF"/>
    <x v="1"/>
    <s v="Congo"/>
    <x v="0"/>
    <x v="0"/>
    <m/>
  </r>
  <r>
    <x v="52"/>
    <s v="Bonus operation du 24/02/2025 à Owando/Evariste"/>
    <s v="Bonus"/>
    <s v="Operations"/>
    <x v="22"/>
    <x v="205"/>
    <n v="579.25099999999998"/>
    <s v="Merveille"/>
    <s v="CA-M-D1"/>
    <s v="PALF"/>
    <x v="1"/>
    <s v="Congo"/>
    <x v="0"/>
    <x v="0"/>
    <m/>
  </r>
  <r>
    <x v="52"/>
    <s v="Bonus du mois de Janvier 2025/Evariste"/>
    <s v="Personnel"/>
    <s v="Media"/>
    <x v="44"/>
    <x v="206"/>
    <n v="579.25099999999998"/>
    <s v="Merveille"/>
    <s v="CA-M-D2"/>
    <s v="PALF"/>
    <x v="1"/>
    <s v="Congo"/>
    <x v="0"/>
    <x v="0"/>
    <m/>
  </r>
  <r>
    <x v="52"/>
    <s v="Bonus du mois de Janvier 2025/Merveille"/>
    <s v="Personnel"/>
    <s v="Office"/>
    <x v="104"/>
    <x v="207"/>
    <n v="579.25099999999998"/>
    <s v="Merveille"/>
    <s v="CA-M-D3"/>
    <s v="PALF"/>
    <x v="1"/>
    <s v="Congo"/>
    <x v="0"/>
    <x v="0"/>
    <m/>
  </r>
  <r>
    <x v="52"/>
    <s v="Bonus operation du 24/02/2025 à Owando/Merveille"/>
    <s v="Bonus"/>
    <s v="Operations"/>
    <x v="0"/>
    <x v="208"/>
    <n v="579.25099999999998"/>
    <s v="Merveille"/>
    <s v="CA-M-D4"/>
    <s v="PALF"/>
    <x v="1"/>
    <s v="Congo"/>
    <x v="0"/>
    <x v="0"/>
    <m/>
  </r>
  <r>
    <x v="52"/>
    <s v="Bonus operation du 24/02/2025 à Owando/Abraham"/>
    <s v="Bonus"/>
    <s v="Operations"/>
    <x v="22"/>
    <x v="205"/>
    <n v="579.25099999999998"/>
    <s v="Merveille"/>
    <s v="CA-M-D6"/>
    <s v="PALF"/>
    <x v="1"/>
    <s v="Congo"/>
    <x v="0"/>
    <x v="0"/>
    <m/>
  </r>
  <r>
    <x v="52"/>
    <s v="Bonus du mois de Janvier 2025/Abraham"/>
    <s v="Personnel"/>
    <s v="Legal"/>
    <x v="44"/>
    <x v="206"/>
    <n v="579.25099999999998"/>
    <s v="Merveille"/>
    <s v="CA-M-D7"/>
    <s v="PALF"/>
    <x v="1"/>
    <s v="Congo"/>
    <x v="0"/>
    <x v="0"/>
    <m/>
  </r>
  <r>
    <x v="52"/>
    <s v="Bonus du mois de Janvier 2025/Roderlin"/>
    <s v="Personnel"/>
    <s v="Legal"/>
    <x v="44"/>
    <x v="206"/>
    <n v="579.25099999999998"/>
    <s v="Merveille"/>
    <s v="CA-M-D8"/>
    <s v="PALF"/>
    <x v="1"/>
    <s v="Congo"/>
    <x v="0"/>
    <x v="0"/>
    <m/>
  </r>
  <r>
    <x v="52"/>
    <s v="Achat 10 ampoules pour le bureau "/>
    <s v="Office Materials"/>
    <s v="Office"/>
    <x v="7"/>
    <x v="209"/>
    <n v="579.25099999999998"/>
    <s v="Parfaite"/>
    <s v="CA-M-R9"/>
    <s v="PALF"/>
    <x v="1"/>
    <s v="Congo"/>
    <x v="0"/>
    <x v="0"/>
    <m/>
  </r>
  <r>
    <x v="52"/>
    <s v="Bonus du mois de Janvier 2025/Parfaite"/>
    <s v="Personnel"/>
    <s v="Office"/>
    <x v="64"/>
    <x v="210"/>
    <n v="579.25099999999998"/>
    <s v="Parfaite"/>
    <s v="CA-M-D5"/>
    <s v="PALF"/>
    <x v="1"/>
    <s v="Congo"/>
    <x v="0"/>
    <x v="0"/>
    <m/>
  </r>
  <r>
    <x v="52"/>
    <s v="Achat carburant 100 Litres de gazoil groupe electrogène Bureau"/>
    <s v="Office Materials"/>
    <s v="Office"/>
    <x v="71"/>
    <x v="211"/>
    <n v="579.25099999999998"/>
    <s v="Abraham"/>
    <s v="CA-M-R10"/>
    <s v="PALF"/>
    <x v="1"/>
    <s v="Congo"/>
    <x v="0"/>
    <x v="0"/>
    <m/>
  </r>
  <r>
    <x v="52"/>
    <s v="Reglement loyer du mois de Février 2025/3654804"/>
    <s v="Rent &amp; Utilities"/>
    <s v="Office"/>
    <x v="9"/>
    <x v="212"/>
    <n v="579.25099999999998"/>
    <s v="BCI"/>
    <s v="BQ-M-R1"/>
    <s v="PALF"/>
    <x v="1"/>
    <s v="Congo"/>
    <x v="0"/>
    <x v="0"/>
    <m/>
  </r>
  <r>
    <x v="52"/>
    <s v="Paiement salaire du mois de Février 2025/FOUMBA Roderlin/3654808"/>
    <s v="Personnel"/>
    <s v="Legal"/>
    <x v="58"/>
    <x v="213"/>
    <n v="579.25099999999998"/>
    <s v="BCI"/>
    <s v="BQ-M-R2"/>
    <s v="PALF"/>
    <x v="1"/>
    <s v="Congo"/>
    <x v="0"/>
    <x v="0"/>
    <m/>
  </r>
  <r>
    <x v="52"/>
    <s v="Paiement salaire du mois de Février 2025/BOUNGOU MAKOSSO Abraham"/>
    <s v="Personnel"/>
    <s v="Legal"/>
    <x v="58"/>
    <x v="213"/>
    <n v="579.25099999999998"/>
    <s v="BCI"/>
    <s v="BQ-M-R3"/>
    <s v="PALF"/>
    <x v="1"/>
    <s v="Congo"/>
    <x v="0"/>
    <x v="0"/>
    <m/>
  </r>
  <r>
    <x v="52"/>
    <s v="Paiement salaire du mois de Février 2025/LOUNDOU JeanRomain/3654807"/>
    <s v="Personnel"/>
    <s v="Legal"/>
    <x v="58"/>
    <x v="213"/>
    <n v="579.25099999999998"/>
    <s v="BCI"/>
    <s v="BQ-M-R4"/>
    <s v="PALF"/>
    <x v="1"/>
    <s v="Congo"/>
    <x v="0"/>
    <x v="0"/>
    <m/>
  </r>
  <r>
    <x v="52"/>
    <s v="Paiement salaire du mois de Février 2025/Crepin IBOUILI-IBOUILI"/>
    <s v="Personnel"/>
    <s v="Legal"/>
    <x v="59"/>
    <x v="214"/>
    <n v="579.25099999999998"/>
    <s v="BCI"/>
    <s v="BQ-M-R5"/>
    <s v="PALF"/>
    <x v="1"/>
    <s v="Congo"/>
    <x v="0"/>
    <x v="0"/>
    <m/>
  </r>
  <r>
    <x v="52"/>
    <s v="Paiement salaire du mois de Février 2025/Merveille MAHANGA"/>
    <s v="Personnel"/>
    <s v="Office"/>
    <x v="60"/>
    <x v="215"/>
    <n v="579.25099999999998"/>
    <s v="BCI"/>
    <s v="BQ-M-R6"/>
    <s v="PALF"/>
    <x v="1"/>
    <s v="Congo"/>
    <x v="0"/>
    <x v="0"/>
    <m/>
  </r>
  <r>
    <x v="52"/>
    <s v="Paiement salaire du mois de Février 2025/Evariste LELOUSSI"/>
    <s v="Personnel"/>
    <s v="Media"/>
    <x v="62"/>
    <x v="216"/>
    <n v="579.25099999999998"/>
    <s v="BCI"/>
    <s v="BQ-M-R7"/>
    <s v="PALF"/>
    <x v="1"/>
    <s v="Congo"/>
    <x v="0"/>
    <x v="0"/>
    <m/>
  </r>
  <r>
    <x v="52"/>
    <s v="Reglement honoraire du mois de Février 2025/T73/3654813"/>
    <s v="Personnel"/>
    <s v="Investigations"/>
    <x v="140"/>
    <x v="217"/>
    <n v="579.25099999999998"/>
    <s v="BCI"/>
    <s v="BQ-M-R8"/>
    <s v="PALF"/>
    <x v="1"/>
    <s v="Congo"/>
    <x v="0"/>
    <x v="0"/>
    <m/>
  </r>
  <r>
    <x v="52"/>
    <s v="Reglement honoraire du mois de Février 2025/P29/3654814"/>
    <s v="Personnel"/>
    <s v="Investigations"/>
    <x v="141"/>
    <x v="218"/>
    <n v="579.25099999999998"/>
    <s v="BCI"/>
    <s v="BQ-M-R9"/>
    <s v="PALF"/>
    <x v="1"/>
    <s v="Congo"/>
    <x v="0"/>
    <x v="0"/>
    <m/>
  </r>
  <r>
    <x v="52"/>
    <s v="Reglement honoraire du mois de Février 2025/IT87/3654815"/>
    <s v="Personnel"/>
    <s v="Investigations"/>
    <x v="89"/>
    <x v="219"/>
    <n v="579.25099999999998"/>
    <s v="BCI"/>
    <s v="BQ-M-R10"/>
    <s v="PALF"/>
    <x v="1"/>
    <s v="Congo"/>
    <x v="0"/>
    <x v="0"/>
    <m/>
  </r>
  <r>
    <x v="52"/>
    <s v="Reglement honoraire du mois de Février 2025/G12/3654816"/>
    <s v="Personnel"/>
    <s v="Investigations"/>
    <x v="89"/>
    <x v="219"/>
    <n v="579.25099999999998"/>
    <s v="BCI"/>
    <s v="BQ-M-R11"/>
    <s v="PALF"/>
    <x v="1"/>
    <s v="Congo"/>
    <x v="0"/>
    <x v="0"/>
    <m/>
  </r>
  <r>
    <x v="52"/>
    <s v="Reglement Facture Gardiennage Mois de Février 2025/3654817"/>
    <s v="Services"/>
    <s v="Office"/>
    <x v="10"/>
    <x v="220"/>
    <n v="579.25099999999998"/>
    <s v="BCI"/>
    <s v="BQ-M-R12"/>
    <s v="PALF"/>
    <x v="1"/>
    <s v="Congo"/>
    <x v="0"/>
    <x v="0"/>
    <m/>
  </r>
  <r>
    <x v="52"/>
    <s v="Frais de virement salaire février 2025"/>
    <s v="Bank fees"/>
    <s v="Office"/>
    <x v="72"/>
    <x v="221"/>
    <n v="579.25099999999998"/>
    <s v="BCI"/>
    <s v="BQ-M-R13"/>
    <s v="PALF"/>
    <x v="1"/>
    <s v="Congo"/>
    <x v="0"/>
    <x v="0"/>
    <m/>
  </r>
  <r>
    <x v="52"/>
    <s v="Acompte honoraire contrat N°64_Dolisie cas NZETSI BIMOKO et Consorts/Maitre Marie Hélène NANITELAMIO MALONGA"/>
    <s v="Lawyer Fees"/>
    <s v="Legal"/>
    <x v="8"/>
    <x v="222"/>
    <n v="579.25099999999998"/>
    <s v="BCI"/>
    <s v="BQ-M-R14"/>
    <s v="PALF"/>
    <x v="1"/>
    <s v="Congo"/>
    <x v="0"/>
    <x v="0"/>
    <m/>
  </r>
  <r>
    <x v="53"/>
    <s v="Bonus à un informateur en RDC "/>
    <s v="Trust Building"/>
    <s v="Investigations"/>
    <x v="44"/>
    <x v="206"/>
    <n v="579.25099999999998"/>
    <s v="DOVI"/>
    <s v="CA-M-R12"/>
    <s v="PALF"/>
    <x v="1"/>
    <s v="Congo"/>
    <x v="0"/>
    <x v="0"/>
    <m/>
  </r>
  <r>
    <x v="53"/>
    <s v="Cumul frais de transport local du mois de Mars 2025/Merveille"/>
    <s v="Transport"/>
    <s v="Office"/>
    <x v="142"/>
    <x v="223"/>
    <n v="579.25099999999998"/>
    <s v="Merveille"/>
    <s v="M-M-D1"/>
    <s v="PALF"/>
    <x v="1"/>
    <s v="Congo"/>
    <x v="0"/>
    <x v="0"/>
    <m/>
  </r>
  <r>
    <x v="53"/>
    <s v="Paiement salaire des jours travaillés en février 2025/Parfaite"/>
    <s v="Personnel"/>
    <s v="Office"/>
    <x v="143"/>
    <x v="224"/>
    <n v="579.25099999999998"/>
    <s v="Merveille"/>
    <s v="CA-M-R11"/>
    <s v="PALF"/>
    <x v="1"/>
    <s v="Congo"/>
    <x v="0"/>
    <x v="0"/>
    <m/>
  </r>
  <r>
    <x v="53"/>
    <s v="Frais de transport mission maitre Marie Helène à Owando du 05 au 07/03/2025 suivi audience cas EBI"/>
    <s v="Transport"/>
    <s v="Legal"/>
    <x v="0"/>
    <x v="208"/>
    <n v="579.25099999999998"/>
    <s v="Merveille"/>
    <s v="CA-M-R16"/>
    <s v="PALF"/>
    <x v="1"/>
    <s v="Congo"/>
    <x v="0"/>
    <x v="0"/>
    <m/>
  </r>
  <r>
    <x v="53"/>
    <s v="Ration et frais d'hotel mission maitre Marie Helène à Owando du 05 au 07/03/2025 suivi audience cas EBI"/>
    <s v="Travel Subsistence"/>
    <s v="Legal"/>
    <x v="30"/>
    <x v="225"/>
    <n v="579.25099999999998"/>
    <s v="Merveille"/>
    <s v="CA-M-R17"/>
    <s v="PALF"/>
    <x v="1"/>
    <s v="Congo"/>
    <x v="0"/>
    <x v="0"/>
    <m/>
  </r>
  <r>
    <x v="53"/>
    <s v="Bonus du mois de Janvier 2025/Crepin"/>
    <s v="Personnel"/>
    <s v="Legal"/>
    <x v="44"/>
    <x v="206"/>
    <n v="579.25099999999998"/>
    <s v="Merveille"/>
    <s v="CA-M-D10"/>
    <s v="PALF"/>
    <x v="1"/>
    <s v="Congo"/>
    <x v="0"/>
    <x v="0"/>
    <m/>
  </r>
  <r>
    <x v="53"/>
    <s v="Bonus operation du 24/02/2025 à Owando/Crepin"/>
    <s v="Bonus"/>
    <s v="Operations"/>
    <x v="30"/>
    <x v="225"/>
    <n v="579.25099999999998"/>
    <s v="Merveille"/>
    <s v="CA-M-D11"/>
    <s v="PALF"/>
    <x v="1"/>
    <s v="Congo"/>
    <x v="0"/>
    <x v="0"/>
    <m/>
  </r>
  <r>
    <x v="53"/>
    <s v="Frais de transfert d'argent à Romain et Crepin"/>
    <s v="Transfer Fees"/>
    <s v="Office"/>
    <x v="144"/>
    <x v="226"/>
    <n v="579.25099999999998"/>
    <s v="Parfaite"/>
    <s v="CA-M-R14"/>
    <s v="PALF"/>
    <x v="1"/>
    <s v="Congo"/>
    <x v="0"/>
    <x v="0"/>
    <m/>
  </r>
  <r>
    <x v="53"/>
    <s v="Complement frais de mission maitre Banzouzi du 04 au 08/03/3035 à Owando"/>
    <s v="Travel Subsistence"/>
    <s v="Legal"/>
    <x v="13"/>
    <x v="227"/>
    <n v="579.25099999999998"/>
    <s v="Parfaite"/>
    <s v="CA-M-R15"/>
    <s v="PALF"/>
    <x v="1"/>
    <s v="Congo"/>
    <x v="0"/>
    <x v="0"/>
    <m/>
  </r>
  <r>
    <x v="53"/>
    <s v="payement frais d'inscription et mensuel pour la formation en anglais"/>
    <s v="Personnel"/>
    <s v="Team Building"/>
    <x v="139"/>
    <x v="204"/>
    <n v="579.25099999999998"/>
    <s v="T73"/>
    <s v="T73-M-R1"/>
    <s v="PALF"/>
    <x v="1"/>
    <s v="Congo"/>
    <x v="0"/>
    <x v="0"/>
    <m/>
  </r>
  <r>
    <x v="53"/>
    <s v="ROMAIN-CONGO Ration du 04 au 08/03/2025 à Owando (04 Nuitées) "/>
    <s v="Travel Subsistence"/>
    <s v="Legal"/>
    <x v="145"/>
    <x v="228"/>
    <n v="579.25099999999998"/>
    <s v="Romain"/>
    <s v="RM-M-D1"/>
    <s v="PALF"/>
    <x v="1"/>
    <s v="Congo"/>
    <x v="0"/>
    <x v="0"/>
    <m/>
  </r>
  <r>
    <x v="53"/>
    <s v="Frais de transfert d'argent en RDC"/>
    <s v="Transfer Fees"/>
    <s v="Office"/>
    <x v="110"/>
    <x v="229"/>
    <n v="579.25099999999998"/>
    <s v="Roderlin"/>
    <s v="CA-M-R13"/>
    <s v="PALF"/>
    <x v="1"/>
    <s v="Congo"/>
    <x v="0"/>
    <x v="0"/>
    <m/>
  </r>
  <r>
    <x v="53"/>
    <s v="Bonus media portant sur l'interpellation de 2 Présumés trafiquants le 24/02/205 à Owando"/>
    <s v="Bonus to media officer"/>
    <s v="Media"/>
    <x v="83"/>
    <x v="230"/>
    <n v="579.25099999999998"/>
    <s v="Evariste"/>
    <s v="CA-M-D9"/>
    <s v="PALF"/>
    <x v="1"/>
    <s v="Congo"/>
    <x v="0"/>
    <x v="0"/>
    <m/>
  </r>
  <r>
    <x v="54"/>
    <s v="CREPIN - CONGO Ration du du 05 au 08/03/2025  03 Nuitées  à Owando(03 Nuitées)"/>
    <s v="Travel Subsistence"/>
    <s v="Legal"/>
    <x v="44"/>
    <x v="206"/>
    <n v="579.25099999999998"/>
    <s v="Crépin"/>
    <s v="CR-M-D1"/>
    <s v="PALF"/>
    <x v="1"/>
    <s v="Congo"/>
    <x v="0"/>
    <x v="0"/>
    <m/>
  </r>
  <r>
    <x v="55"/>
    <s v="Règlement loyer du mois de Février 2025/DOVI Coordinateur PALF "/>
    <s v="Personnel"/>
    <s v="Management"/>
    <x v="85"/>
    <x v="231"/>
    <n v="579.25099999999998"/>
    <s v="DOVI"/>
    <s v="DH-M-R2"/>
    <s v="PALF"/>
    <x v="1"/>
    <s v="Congo"/>
    <x v="0"/>
    <x v="0"/>
    <m/>
  </r>
  <r>
    <x v="55"/>
    <s v="Bonus à un informateur en RDC"/>
    <s v="Trust Building"/>
    <s v="Investigations"/>
    <x v="44"/>
    <x v="206"/>
    <n v="579.25099999999998"/>
    <s v="DOVI"/>
    <s v="CA-M-R18"/>
    <s v="PALF"/>
    <x v="1"/>
    <s v="Congo"/>
    <x v="0"/>
    <x v="0"/>
    <m/>
  </r>
  <r>
    <x v="55"/>
    <s v="Achat billet brazzaville - dolisie/G12"/>
    <s v="Transport"/>
    <s v="Investigations"/>
    <x v="12"/>
    <x v="196"/>
    <n v="579.25099999999998"/>
    <s v="G12"/>
    <s v="G12-M-R1"/>
    <s v="PALF"/>
    <x v="1"/>
    <s v="Congo"/>
    <x v="0"/>
    <x v="0"/>
    <m/>
  </r>
  <r>
    <x v="55"/>
    <s v="Frais de transfert Bonus à un informateur en RDC"/>
    <s v="Transfer Fees"/>
    <s v="Office"/>
    <x v="110"/>
    <x v="229"/>
    <n v="579.25099999999998"/>
    <s v="Roderlin"/>
    <s v="CA-M-R19"/>
    <s v="PALF"/>
    <x v="1"/>
    <s v="Congo"/>
    <x v="0"/>
    <x v="0"/>
    <m/>
  </r>
  <r>
    <x v="56"/>
    <s v="Reparation de court -circuit électrique du bureau"/>
    <s v="Services"/>
    <s v="Office"/>
    <x v="0"/>
    <x v="208"/>
    <n v="579.25099999999998"/>
    <s v="DOVI"/>
    <s v="CA-M-R20"/>
    <s v="PALF"/>
    <x v="1"/>
    <s v="Congo"/>
    <x v="0"/>
    <x v="0"/>
    <m/>
  </r>
  <r>
    <x v="56"/>
    <s v="G12 - GONGO Ration du 07 au 24/03/2025 à Dolisie et Madingou "/>
    <s v="Travel Subsistence"/>
    <s v="Investigations"/>
    <x v="105"/>
    <x v="232"/>
    <n v="579.25099999999998"/>
    <s v="G12"/>
    <s v="G12-M-D1"/>
    <s v="PALF"/>
    <x v="1"/>
    <s v="Congo"/>
    <x v="0"/>
    <x v="0"/>
    <m/>
  </r>
  <r>
    <x v="56"/>
    <s v="RAPATRIEME01100 RAO00010768/CHENE"/>
    <s v="Grant"/>
    <m/>
    <x v="47"/>
    <x v="233"/>
    <n v="579.64599999999996"/>
    <s v="BCI"/>
    <s v="BQ-M-G1"/>
    <s v="PALF"/>
    <x v="1"/>
    <s v="Congo"/>
    <x v="2"/>
    <x v="1"/>
    <m/>
  </r>
  <r>
    <x v="56"/>
    <s v="RAPATRIEME01100 RAO00010768/OAT"/>
    <s v="Grant"/>
    <m/>
    <x v="47"/>
    <x v="233"/>
    <n v="579.64599999999996"/>
    <s v="BCI"/>
    <s v="BQ-M-G2"/>
    <s v="PALF"/>
    <x v="3"/>
    <s v="Congo"/>
    <x v="3"/>
    <x v="2"/>
    <m/>
  </r>
  <r>
    <x v="57"/>
    <s v="CREPIN-IBOULI CONGO Hébergement à l'hôtel Case Mbali d'Owando, 07 Nuitées du  01 au 08/03/2025 "/>
    <s v="Travel Subsistence"/>
    <s v="Legal"/>
    <x v="46"/>
    <x v="234"/>
    <n v="579.64599999999996"/>
    <s v="Crépin"/>
    <s v="CR-M-R2"/>
    <s v="PALF"/>
    <x v="1"/>
    <s v="Congo"/>
    <x v="0"/>
    <x v="0"/>
    <m/>
  </r>
  <r>
    <x v="57"/>
    <s v="Billet: Owando-Brazaville/Crepin"/>
    <s v="Transport"/>
    <s v="Legal"/>
    <x v="12"/>
    <x v="235"/>
    <n v="579.64599999999996"/>
    <s v="Crépin"/>
    <s v="CR-M-R3"/>
    <s v="PALF"/>
    <x v="1"/>
    <s v="Congo"/>
    <x v="0"/>
    <x v="0"/>
    <m/>
  </r>
  <r>
    <x v="57"/>
    <s v="ROMAIN - CONGO Frais d'hotel du 25/02/au 08/03/2025 à Owando"/>
    <s v="Travel Subsistence"/>
    <s v="Legal"/>
    <x v="146"/>
    <x v="236"/>
    <n v="579.64599999999996"/>
    <s v="Romain"/>
    <s v="RM-M-R1"/>
    <s v="PALF"/>
    <x v="1"/>
    <s v="Congo"/>
    <x v="0"/>
    <x v="0"/>
    <m/>
  </r>
  <r>
    <x v="58"/>
    <s v="Bonus du mois de Février 2025/Romain"/>
    <s v="Personnel"/>
    <s v="Legal"/>
    <x v="44"/>
    <x v="237"/>
    <n v="579.64599999999996"/>
    <s v="Merveille"/>
    <s v="CA-M-D12"/>
    <s v="PALF"/>
    <x v="1"/>
    <s v="Congo"/>
    <x v="0"/>
    <x v="0"/>
    <m/>
  </r>
  <r>
    <x v="58"/>
    <s v="Bonus operation du 24/02/2025 à Owando/Romain"/>
    <s v="Bonus"/>
    <s v="Operations"/>
    <x v="22"/>
    <x v="238"/>
    <n v="579.64599999999996"/>
    <s v="Merveille"/>
    <s v="CA-M-D13"/>
    <s v="PALF"/>
    <x v="1"/>
    <s v="Congo"/>
    <x v="0"/>
    <x v="0"/>
    <m/>
  </r>
  <r>
    <x v="58"/>
    <s v="Achat billet Brazzaville-Dolisie/P29"/>
    <s v="Transport"/>
    <s v="Investigations"/>
    <x v="4"/>
    <x v="239"/>
    <n v="579.64599999999996"/>
    <s v="P29"/>
    <s v="P29-M-R1"/>
    <s v="PALF"/>
    <x v="1"/>
    <s v="Congo"/>
    <x v="0"/>
    <x v="0"/>
    <m/>
  </r>
  <r>
    <x v="58"/>
    <s v="Cumul trust building du mois de Mars 2025/G12 "/>
    <s v="Trust Building"/>
    <s v="Investigations"/>
    <x v="5"/>
    <x v="240"/>
    <n v="579.64599999999996"/>
    <s v="G12"/>
    <s v="G12-M-D2"/>
    <s v="PALF"/>
    <x v="1"/>
    <s v="Congo"/>
    <x v="0"/>
    <x v="0"/>
    <m/>
  </r>
  <r>
    <x v="58"/>
    <s v="Frais de transfert d'argent à G12"/>
    <s v="Transfer Fees"/>
    <s v="Office"/>
    <x v="147"/>
    <x v="241"/>
    <n v="579.64599999999996"/>
    <s v="Roderlin"/>
    <s v="CA-M-R21"/>
    <s v="PALF"/>
    <x v="1"/>
    <s v="Congo"/>
    <x v="0"/>
    <x v="0"/>
    <m/>
  </r>
  <r>
    <x v="58"/>
    <s v="Paiement Honoraire Me LOCKO/Mois de Janvier 2025/3654793"/>
    <s v="Lawyer Fees"/>
    <s v="Legal"/>
    <x v="11"/>
    <x v="242"/>
    <n v="579.64599999999996"/>
    <s v="BCI"/>
    <s v="BQ-M-R15"/>
    <s v="PALF"/>
    <x v="1"/>
    <s v="Congo"/>
    <x v="0"/>
    <x v="0"/>
    <m/>
  </r>
  <r>
    <x v="58"/>
    <s v="Paiement Honoraire Me LOCKO/Mois de Février 2025/3654820"/>
    <s v="Lawyer Fees"/>
    <s v="Legal"/>
    <x v="11"/>
    <x v="242"/>
    <n v="579.64599999999996"/>
    <s v="BCI"/>
    <s v="BQ-M-R16"/>
    <s v="PALF"/>
    <x v="1"/>
    <s v="Congo"/>
    <x v="0"/>
    <x v="0"/>
    <m/>
  </r>
  <r>
    <x v="58"/>
    <s v="Paiement salaire du mois de Février 2025/Homéfa DOVI/3654812"/>
    <s v="Personnel"/>
    <s v="Management"/>
    <x v="57"/>
    <x v="243"/>
    <n v="579.64599999999996"/>
    <s v="BCI"/>
    <s v="BQ-M-R17"/>
    <s v="PALF"/>
    <x v="1"/>
    <s v="Congo"/>
    <x v="0"/>
    <x v="0"/>
    <m/>
  </r>
  <r>
    <x v="59"/>
    <s v="Achat de 14 pagnes africain pour la JIF(08Mars)/Bureau PALF"/>
    <s v="Personnel"/>
    <s v="Team Building"/>
    <x v="148"/>
    <x v="244"/>
    <n v="579.64599999999996"/>
    <s v="Parfaite"/>
    <s v="CA-M-R23"/>
    <s v="PALF"/>
    <x v="1"/>
    <s v="Congo"/>
    <x v="0"/>
    <x v="0"/>
    <m/>
  </r>
  <r>
    <x v="59"/>
    <s v="P29- CONGO Ration mission du 11 au 24/03/2025 à Dolisie et Madingou (13 Nuitées)"/>
    <s v="Travel Subsistence"/>
    <s v="Investigations"/>
    <x v="114"/>
    <x v="245"/>
    <n v="579.64599999999996"/>
    <s v="P29"/>
    <s v="P29-M-D1"/>
    <s v="PALF"/>
    <x v="3"/>
    <s v="Congo"/>
    <x v="0"/>
    <x v="0"/>
    <m/>
  </r>
  <r>
    <x v="59"/>
    <s v="T73 - CONGO Ration du 11 au 18/03/2025 (07nuitées) à Djambala,Lékana et NGO"/>
    <s v="Travel Subsistence"/>
    <s v="Investigations"/>
    <x v="21"/>
    <x v="246"/>
    <n v="579.64599999999996"/>
    <s v="T73"/>
    <s v="T73-M-D1"/>
    <s v="PALF"/>
    <x v="3"/>
    <s v="Congo"/>
    <x v="0"/>
    <x v="0"/>
    <m/>
  </r>
  <r>
    <x v="59"/>
    <s v="achat billet : Brazzaville - Djambala/T73"/>
    <s v="Transport"/>
    <s v="Investigations"/>
    <x v="63"/>
    <x v="247"/>
    <n v="579.64599999999996"/>
    <s v="T73"/>
    <s v="T73-M-R2"/>
    <s v="PALF"/>
    <x v="3"/>
    <s v="Congo"/>
    <x v="0"/>
    <x v="0"/>
    <m/>
  </r>
  <r>
    <x v="59"/>
    <s v="IT87 - CONGO Ration du 11 au 18/03/2025 à Pointe-Noire et Nkayi "/>
    <s v="Travel Subsistence"/>
    <s v="Investigations"/>
    <x v="21"/>
    <x v="246"/>
    <n v="579.64599999999996"/>
    <s v="IT87"/>
    <s v="IT87-M-D1"/>
    <s v="PALF"/>
    <x v="3"/>
    <s v="Congo"/>
    <x v="0"/>
    <x v="0"/>
    <m/>
  </r>
  <r>
    <x v="59"/>
    <s v="Achat billet Brazzaville - Pointe-Noire/ IT87"/>
    <s v="Transport"/>
    <s v="Investigations"/>
    <x v="45"/>
    <x v="248"/>
    <n v="579.64599999999996"/>
    <s v="IT87"/>
    <s v="IT87-M-R1"/>
    <s v="PALF"/>
    <x v="3"/>
    <s v="Congo"/>
    <x v="0"/>
    <x v="0"/>
    <m/>
  </r>
  <r>
    <x v="59"/>
    <s v="Règlement facture électricité piode Janvier-Février2025/bureau PALF"/>
    <s v="Rent &amp; Utilities"/>
    <s v="Office"/>
    <x v="149"/>
    <x v="249"/>
    <n v="579.64599999999996"/>
    <s v="Roderlin"/>
    <s v="CA-M-R22"/>
    <s v="PALF"/>
    <x v="3"/>
    <s v="Congo"/>
    <x v="0"/>
    <x v="0"/>
    <m/>
  </r>
  <r>
    <x v="59"/>
    <s v="Virement fonds à CJ"/>
    <s v="Grant"/>
    <m/>
    <x v="150"/>
    <x v="250"/>
    <n v="579.64599999999996"/>
    <s v="BCI"/>
    <s v="BQ-M-G3"/>
    <s v="PALF"/>
    <x v="4"/>
    <s v="Congo"/>
    <x v="0"/>
    <x v="0"/>
    <m/>
  </r>
  <r>
    <x v="59"/>
    <s v="Frais de virement de fonds à CJ"/>
    <s v="Bank fees"/>
    <s v="Office"/>
    <x v="151"/>
    <x v="251"/>
    <n v="579.64599999999996"/>
    <s v="BCI"/>
    <s v="BQ-M-R18"/>
    <s v="PALF"/>
    <x v="3"/>
    <s v="Congo"/>
    <x v="0"/>
    <x v="0"/>
    <m/>
  </r>
  <r>
    <x v="59"/>
    <s v="Paiement congé et jours travaillés en Mars 2025/Merveille MAHANGA"/>
    <s v="Personnel"/>
    <s v="Office"/>
    <x v="152"/>
    <x v="252"/>
    <n v="579.64599999999996"/>
    <s v="BCI"/>
    <s v="BQ-M-R19"/>
    <s v="PALF"/>
    <x v="1"/>
    <s v="Congo"/>
    <x v="0"/>
    <x v="0"/>
    <m/>
  </r>
  <r>
    <x v="59"/>
    <s v="Frais de virement salaire Mervielle Mars 2025"/>
    <s v="Bank fees"/>
    <s v="Office"/>
    <x v="153"/>
    <x v="253"/>
    <n v="579.64599999999996"/>
    <s v="BCI"/>
    <s v="BQ-M-R20"/>
    <s v="PALF"/>
    <x v="3"/>
    <s v="Congo"/>
    <x v="0"/>
    <x v="0"/>
    <m/>
  </r>
  <r>
    <x v="60"/>
    <s v="Achat produit d'entretien lait,sucre,javel,papier toilette,sucre,café/Bureau PALF "/>
    <s v="Office Materials"/>
    <s v="Office"/>
    <x v="154"/>
    <x v="254"/>
    <n v="579.64599999999996"/>
    <s v="Parfaite"/>
    <s v="CA-M-R25"/>
    <s v="PALF"/>
    <x v="3"/>
    <s v="Congo"/>
    <x v="0"/>
    <x v="0"/>
    <m/>
  </r>
  <r>
    <x v="60"/>
    <s v="Achat credit téléphonique MTN pour Donald Roméo periode du 12 au 31/03/2025"/>
    <s v="Telephone"/>
    <s v="Legal"/>
    <x v="64"/>
    <x v="255"/>
    <n v="579.64599999999996"/>
    <s v="Parfaite"/>
    <s v="CA-M-R26"/>
    <s v="PALF"/>
    <x v="3"/>
    <s v="Congo"/>
    <x v="0"/>
    <x v="0"/>
    <m/>
  </r>
  <r>
    <x v="60"/>
    <s v="T73 - CONGO Frais d'hotel du 11 au 12/03/2025 (01 nuitée ) à Djambala"/>
    <s v="Travel Subsistence"/>
    <s v="Investigations"/>
    <x v="64"/>
    <x v="255"/>
    <n v="579.64599999999996"/>
    <s v="T73"/>
    <s v="T73-M-R3"/>
    <s v="PALF"/>
    <x v="3"/>
    <s v="Congo"/>
    <x v="0"/>
    <x v="0"/>
    <m/>
  </r>
  <r>
    <x v="60"/>
    <s v="achat billet : Djambala - Lékana/T73"/>
    <s v="Transport"/>
    <s v="Investigations"/>
    <x v="101"/>
    <x v="256"/>
    <n v="579.64599999999996"/>
    <s v="T73"/>
    <s v="T73-M-R4"/>
    <s v="PALF"/>
    <x v="3"/>
    <s v="Congo"/>
    <x v="0"/>
    <x v="0"/>
    <m/>
  </r>
  <r>
    <x v="60"/>
    <s v="Achat eau mineral 16 Litres/Bureau"/>
    <s v="Office Materials"/>
    <s v="Office"/>
    <x v="7"/>
    <x v="257"/>
    <n v="579.64599999999996"/>
    <s v="Roderlin"/>
    <s v="CA-M-R24"/>
    <s v="PALF"/>
    <x v="3"/>
    <s v="Congo"/>
    <x v="0"/>
    <x v="0"/>
    <m/>
  </r>
  <r>
    <x v="61"/>
    <s v="Frais de transfert d'argent à G12"/>
    <s v="Transfer Fees"/>
    <s v="Office"/>
    <x v="155"/>
    <x v="258"/>
    <n v="579.64599999999996"/>
    <s v="Roderlin"/>
    <s v="CA-M-R27"/>
    <s v="PALF"/>
    <x v="3"/>
    <s v="Congo"/>
    <x v="0"/>
    <x v="0"/>
    <m/>
  </r>
  <r>
    <x v="62"/>
    <s v="T73 - CONGO Frais d'hotel du 12 au 14/03/2025 (02 nuitées ) à Lékana"/>
    <s v="Travel Subsistence"/>
    <s v="Investigations"/>
    <x v="44"/>
    <x v="237"/>
    <n v="579.64599999999996"/>
    <s v="T73"/>
    <s v="T73-M-R5"/>
    <s v="PALF"/>
    <x v="3"/>
    <s v="Congo"/>
    <x v="0"/>
    <x v="0"/>
    <m/>
  </r>
  <r>
    <x v="62"/>
    <s v="achat billet : Lekana - Djambala/T73"/>
    <s v="Transport"/>
    <s v="Investigations"/>
    <x v="101"/>
    <x v="256"/>
    <n v="579.64599999999996"/>
    <s v="T73"/>
    <s v="T73-M-R6"/>
    <s v="PALF"/>
    <x v="3"/>
    <s v="Congo"/>
    <x v="0"/>
    <x v="0"/>
    <m/>
  </r>
  <r>
    <x v="62"/>
    <s v="Solde honoraire contrat N°81_Owando cas MONICK François/Maitre Marie Alain BAZOUNZI"/>
    <s v="Lawyer Fees"/>
    <s v="Legal"/>
    <x v="8"/>
    <x v="259"/>
    <n v="579.64599999999996"/>
    <s v="BCI"/>
    <s v="BQ-M-R21"/>
    <s v="PALF"/>
    <x v="1"/>
    <s v="Congo"/>
    <x v="0"/>
    <x v="0"/>
    <m/>
  </r>
  <r>
    <x v="62"/>
    <s v="Acompte honoraire contrat N°82_Owando cas NGASSAKI Dany et ELOMBO Levy/Maitre Marie Alain BAZOUNZI"/>
    <s v="Lawyer Fees"/>
    <s v="Legal"/>
    <x v="58"/>
    <x v="260"/>
    <n v="579.64599999999996"/>
    <s v="BCI"/>
    <s v="BQ-M-R22"/>
    <s v="PALF"/>
    <x v="1"/>
    <s v="Congo"/>
    <x v="0"/>
    <x v="0"/>
    <m/>
  </r>
  <r>
    <x v="63"/>
    <s v="T73 - CONGO Frais d'hotel du 14 au 15/03/2025 (01 nuitée ) à Djambala"/>
    <s v="Travel Subsistence"/>
    <s v="Investigations"/>
    <x v="64"/>
    <x v="255"/>
    <n v="579.64599999999996"/>
    <s v="T73"/>
    <s v="T73-M-R7"/>
    <s v="PALF"/>
    <x v="3"/>
    <s v="Congo"/>
    <x v="0"/>
    <x v="0"/>
    <m/>
  </r>
  <r>
    <x v="63"/>
    <s v="achat billet : Djambala - Ngo/T73"/>
    <s v="Transport"/>
    <s v="Investigations"/>
    <x v="101"/>
    <x v="256"/>
    <n v="579.64599999999996"/>
    <s v="T73"/>
    <s v="T73-M-R8"/>
    <s v="PALF"/>
    <x v="3"/>
    <s v="Congo"/>
    <x v="0"/>
    <x v="0"/>
    <m/>
  </r>
  <r>
    <x v="64"/>
    <s v="Billet: Brazzaville-Dolisie/Crépin"/>
    <s v="Transport"/>
    <s v="Legal"/>
    <x v="4"/>
    <x v="239"/>
    <n v="579.64599999999996"/>
    <s v="Crépin"/>
    <s v="CR-M-R4"/>
    <s v="PALF"/>
    <x v="3"/>
    <s v="Congo"/>
    <x v="0"/>
    <x v="0"/>
    <m/>
  </r>
  <r>
    <x v="64"/>
    <s v="IT87- CONGO Frais d'hôtel du 11 au 16/03/2025 à Pointe-Noire (05 nuitées)"/>
    <s v="Travel Subsistence"/>
    <s v="Investigations"/>
    <x v="116"/>
    <x v="261"/>
    <n v="579.64599999999996"/>
    <s v="IT87"/>
    <s v="IT87-M-R2"/>
    <s v="PALF"/>
    <x v="3"/>
    <s v="Congo"/>
    <x v="0"/>
    <x v="0"/>
    <m/>
  </r>
  <r>
    <x v="64"/>
    <s v="Achat billet Pointe-Noire - Nkayi/ IT87"/>
    <s v="Transport"/>
    <s v="Investigations"/>
    <x v="12"/>
    <x v="235"/>
    <n v="579.64599999999996"/>
    <s v="IT87"/>
    <s v="IT87-M-R3"/>
    <s v="PALF"/>
    <x v="3"/>
    <s v="Congo"/>
    <x v="0"/>
    <x v="0"/>
    <m/>
  </r>
  <r>
    <x v="64"/>
    <s v="Achat Billet Brazzaville-Dolisie/Romain"/>
    <s v="Transport"/>
    <s v="Legal"/>
    <x v="4"/>
    <x v="239"/>
    <n v="579.64599999999996"/>
    <s v="Romain"/>
    <s v="RM-M-R2"/>
    <s v="PALF"/>
    <x v="3"/>
    <s v="Congo"/>
    <x v="0"/>
    <x v="0"/>
    <m/>
  </r>
  <r>
    <x v="64"/>
    <s v="Billet Brazzaville-Dolisie/Abraham"/>
    <s v="Transport"/>
    <s v="Legal"/>
    <x v="4"/>
    <x v="239"/>
    <n v="579.64599999999996"/>
    <s v="Abraham"/>
    <s v="AB-M-R3"/>
    <s v="PALF"/>
    <x v="3"/>
    <s v="Congo"/>
    <x v="0"/>
    <x v="0"/>
    <m/>
  </r>
  <r>
    <x v="64"/>
    <s v="Achat billet Brazzaville-Dolisie/Donald-Roméo"/>
    <s v="Transport"/>
    <s v="Legal"/>
    <x v="4"/>
    <x v="239"/>
    <n v="579.64599999999996"/>
    <s v="Donald-Romeo"/>
    <s v="DR-M-R1"/>
    <s v="PALF"/>
    <x v="3"/>
    <s v="Congo"/>
    <x v="0"/>
    <x v="0"/>
    <m/>
  </r>
  <r>
    <x v="64"/>
    <s v="Achat billet Brazzaville-Dolisie/Evariste "/>
    <s v="Transport"/>
    <s v="Operations"/>
    <x v="4"/>
    <x v="239"/>
    <n v="579.64599999999996"/>
    <s v="Evariste"/>
    <s v="EV-M-R1"/>
    <s v="PALF"/>
    <x v="3"/>
    <s v="Congo"/>
    <x v="0"/>
    <x v="0"/>
    <m/>
  </r>
  <r>
    <x v="65"/>
    <s v="CREPIN - CONGO Ration  du 17/03/ au 05/04/2025 à Dolisie(19 Nuitées)"/>
    <s v="Travel Subsistence"/>
    <s v="Operations"/>
    <x v="97"/>
    <x v="262"/>
    <n v="579.64599999999996"/>
    <s v="Crépin"/>
    <s v="CR-M-D2"/>
    <s v="PALF"/>
    <x v="1"/>
    <s v="Congo"/>
    <x v="0"/>
    <x v="0"/>
    <m/>
  </r>
  <r>
    <x v="65"/>
    <s v="Frais de transfert d'argent à P29 et G12"/>
    <s v="Transfer Fees"/>
    <s v="Office"/>
    <x v="156"/>
    <x v="263"/>
    <n v="579.64599999999996"/>
    <s v="Parfaite"/>
    <s v="CA-M-R28"/>
    <s v="PALF"/>
    <x v="3"/>
    <s v="Congo"/>
    <x v="0"/>
    <x v="0"/>
    <m/>
  </r>
  <r>
    <x v="65"/>
    <s v="Achat credit  teléphonique MTN/PALF/Deuxième partie du mois de Mars2025/Management"/>
    <s v="Telephone"/>
    <s v="Management"/>
    <x v="0"/>
    <x v="264"/>
    <n v="579.64599999999996"/>
    <s v="Parfaite"/>
    <s v="CA-M-R29"/>
    <s v="PALF"/>
    <x v="3"/>
    <s v="Congo"/>
    <x v="0"/>
    <x v="0"/>
    <m/>
  </r>
  <r>
    <x v="65"/>
    <s v="Achat credit  teléphonique MTN/PALF/Deuxième partie du mois de Mars 2025/Legal"/>
    <s v="Telephone"/>
    <s v="Legal"/>
    <x v="44"/>
    <x v="237"/>
    <n v="579.64599999999996"/>
    <s v="Parfaite"/>
    <s v="CA-M-R30"/>
    <s v="PALF"/>
    <x v="3"/>
    <s v="Congo"/>
    <x v="0"/>
    <x v="0"/>
    <m/>
  </r>
  <r>
    <x v="65"/>
    <s v="Achat credit  teléphonique MTN/PALF/Deuxième partie du mois de Mars 2025/Investigation"/>
    <s v="Telephone"/>
    <s v="Investigations"/>
    <x v="111"/>
    <x v="265"/>
    <n v="579.64599999999996"/>
    <s v="Parfaite"/>
    <s v="CA-M-R31"/>
    <s v="PALF"/>
    <x v="3"/>
    <s v="Congo"/>
    <x v="0"/>
    <x v="0"/>
    <m/>
  </r>
  <r>
    <x v="65"/>
    <s v="Achat credit  teléphonique MTN/PALF/deuxième partie du mois de Mars 2025/Media"/>
    <s v="Telephone"/>
    <s v="Media"/>
    <x v="4"/>
    <x v="239"/>
    <n v="579.64599999999996"/>
    <s v="Parfaite"/>
    <s v="CA-M-R32"/>
    <s v="PALF"/>
    <x v="3"/>
    <s v="Congo"/>
    <x v="0"/>
    <x v="0"/>
    <m/>
  </r>
  <r>
    <x v="65"/>
    <s v="Achat credit  teléphonique Airtel/PALF/Deuxième partie du mois de Mars 2025/Legal"/>
    <s v="Telephone"/>
    <s v="Legal"/>
    <x v="4"/>
    <x v="239"/>
    <n v="579.64599999999996"/>
    <s v="Parfaite"/>
    <s v="CA-M-R33"/>
    <s v="PALF"/>
    <x v="3"/>
    <s v="Congo"/>
    <x v="0"/>
    <x v="0"/>
    <m/>
  </r>
  <r>
    <x v="65"/>
    <s v="Achat credit  teléphonique Airtel/PALF/Deuxième partie du mois de Mars 2025/Investigation"/>
    <s v="Telephone"/>
    <s v="Investigations"/>
    <x v="31"/>
    <x v="266"/>
    <n v="579.64599999999996"/>
    <s v="Parfaite"/>
    <s v="CA-M-R34"/>
    <s v="PALF"/>
    <x v="3"/>
    <s v="Congo"/>
    <x v="0"/>
    <x v="0"/>
    <m/>
  </r>
  <r>
    <x v="65"/>
    <s v="ROMAIN-CONGO: Ration du 17 au 29 mars 2025 à Dolisie et Sibiti/ 12 Nuitées"/>
    <s v="Travel Subsistence"/>
    <s v="Legal"/>
    <x v="32"/>
    <x v="267"/>
    <n v="579.64599999999996"/>
    <s v="Romain"/>
    <s v="RM-M-D2"/>
    <s v="PALF"/>
    <x v="3"/>
    <s v="Congo"/>
    <x v="0"/>
    <x v="0"/>
    <m/>
  </r>
  <r>
    <x v="65"/>
    <s v="ABRAHAM - CONGO Ration du 17/03/2025 au 26/03/2025 à Dolisie (09 Nuitées) "/>
    <s v="Travel Subsistence"/>
    <s v="Operations"/>
    <x v="35"/>
    <x v="268"/>
    <n v="579.64599999999996"/>
    <s v="Abraham"/>
    <s v="AB-M-D1"/>
    <s v="PALF"/>
    <x v="3"/>
    <s v="Congo"/>
    <x v="0"/>
    <x v="0"/>
    <m/>
  </r>
  <r>
    <x v="65"/>
    <s v="Ration  du  17/03/ au 05/04/2025 à Dolisie"/>
    <s v="Travel Subsistence"/>
    <s v="Legal"/>
    <x v="97"/>
    <x v="262"/>
    <n v="579.64599999999996"/>
    <s v="Donald-Romeo"/>
    <s v="DR-M-D1"/>
    <s v="PALF"/>
    <x v="1"/>
    <s v="Congo"/>
    <x v="0"/>
    <x v="0"/>
    <m/>
  </r>
  <r>
    <x v="65"/>
    <s v="EVARISTE - CONGO Ration du 17 au 26 mars 2025  à Dolisie/09 Nuitées"/>
    <s v="Travel Subsistence"/>
    <s v="Operations"/>
    <x v="35"/>
    <x v="268"/>
    <n v="579.64599999999996"/>
    <s v="Evariste"/>
    <s v="EV-M-D1"/>
    <s v="PALF"/>
    <x v="3"/>
    <s v="Congo"/>
    <x v="0"/>
    <x v="0"/>
    <m/>
  </r>
  <r>
    <x v="66"/>
    <s v="T73 - CONGO Frais d'hotel du 15 au 18/03/2025 (03 nuitées ) à Ngo"/>
    <s v="Travel Subsistence"/>
    <s v="Investigations"/>
    <x v="22"/>
    <x v="238"/>
    <n v="579.64599999999996"/>
    <s v="T73"/>
    <s v="T73-M-R9"/>
    <s v="PALF"/>
    <x v="3"/>
    <s v="Congo"/>
    <x v="0"/>
    <x v="0"/>
    <m/>
  </r>
  <r>
    <x v="66"/>
    <s v="achat billet : Ngo - Brazzaville/T73"/>
    <s v="Transport"/>
    <s v="Investigations"/>
    <x v="63"/>
    <x v="247"/>
    <n v="579.64599999999996"/>
    <s v="T73"/>
    <s v="T73-M-R10"/>
    <s v="PALF"/>
    <x v="3"/>
    <s v="Congo"/>
    <x v="0"/>
    <x v="0"/>
    <m/>
  </r>
  <r>
    <x v="66"/>
    <s v="IT87- CONGO Frais d'hôtel  du 16 au 18/03/2025 à Nkayi ( 02 nuitées)"/>
    <s v="Travel Subsistence"/>
    <s v="Investigations"/>
    <x v="44"/>
    <x v="237"/>
    <n v="579.64599999999996"/>
    <s v="IT87"/>
    <s v="IT87-M-R4"/>
    <s v="PALF"/>
    <x v="1"/>
    <s v="Congo"/>
    <x v="0"/>
    <x v="0"/>
    <m/>
  </r>
  <r>
    <x v="66"/>
    <s v="Achat billet Nkayi -Brazzaville/ IT87"/>
    <s v="Transport"/>
    <s v="Investigations"/>
    <x v="12"/>
    <x v="235"/>
    <n v="579.64599999999996"/>
    <s v="IT87"/>
    <s v="IT87-M-R5"/>
    <s v="PALF"/>
    <x v="1"/>
    <s v="Congo"/>
    <x v="0"/>
    <x v="0"/>
    <m/>
  </r>
  <r>
    <x v="66"/>
    <s v="Achat billet Brazzaville-Owando/Roderlin"/>
    <s v="Transport"/>
    <s v="Legal"/>
    <x v="12"/>
    <x v="235"/>
    <n v="579.64599999999996"/>
    <s v="Roderlin"/>
    <s v="RO-M-R1"/>
    <s v="PALF"/>
    <x v="1"/>
    <s v="Congo"/>
    <x v="0"/>
    <x v="0"/>
    <m/>
  </r>
  <r>
    <x v="66"/>
    <s v="Frais de transport mission maitre Marie Helène à Owando du 19 au 22/03/2025 suivi audience cas EBI "/>
    <s v="Transport"/>
    <s v="Legal"/>
    <x v="1"/>
    <x v="269"/>
    <n v="579.64599999999996"/>
    <s v="Roderlin"/>
    <s v="CA-M-R35"/>
    <s v="PALF"/>
    <x v="1"/>
    <s v="Congo"/>
    <x v="0"/>
    <x v="0"/>
    <m/>
  </r>
  <r>
    <x v="66"/>
    <s v="Ration et Frais d'hôtel  mission maitre Marie Helène à Owando du 19 au 22/03/2025 suivi audience cas EBI "/>
    <s v="Travel Subsistence"/>
    <s v="Legal"/>
    <x v="116"/>
    <x v="261"/>
    <n v="579.64599999999996"/>
    <s v="Roderlin"/>
    <s v="CA-M-R36"/>
    <s v="PALF"/>
    <x v="1"/>
    <s v="Congo"/>
    <x v="0"/>
    <x v="0"/>
    <m/>
  </r>
  <r>
    <x v="66"/>
    <s v="Frais de transport mission à Owando de maitre Alain du 19au 21/03/2025 suivi audience à Owando"/>
    <s v="Transport"/>
    <s v="Legal"/>
    <x v="1"/>
    <x v="269"/>
    <n v="579.64599999999996"/>
    <s v="Roderlin"/>
    <s v="CA-M-R37"/>
    <s v="PALF"/>
    <x v="1"/>
    <s v="Congo"/>
    <x v="0"/>
    <x v="0"/>
    <m/>
  </r>
  <r>
    <x v="66"/>
    <s v="Ration et Frais d'hôtel mission à Owando de maitre Alain du 19 au 21/03/2025 suivi audience à Owando "/>
    <s v="Travel Subsistence"/>
    <s v="Legal"/>
    <x v="30"/>
    <x v="270"/>
    <n v="579.64599999999996"/>
    <s v="Roderlin"/>
    <s v="CA-M-R38"/>
    <s v="PALF"/>
    <x v="1"/>
    <s v="Congo"/>
    <x v="0"/>
    <x v="0"/>
    <m/>
  </r>
  <r>
    <x v="67"/>
    <s v="CREPIN - CONGO  Frais d'hôtel à Dolisie du 17 au 19/03/2025, 02 Nuitées"/>
    <s v="Travel Subsistence"/>
    <s v="Operations"/>
    <x v="44"/>
    <x v="237"/>
    <n v="579.64599999999996"/>
    <s v="Crépin"/>
    <s v="CR-M-R5"/>
    <s v="PALF"/>
    <x v="1"/>
    <s v="Congo"/>
    <x v="0"/>
    <x v="0"/>
    <m/>
  </r>
  <r>
    <x v="67"/>
    <s v="Frais de transfert d'argent à Crepin, Evariste, Abraham, Romain et Donald-Romeo"/>
    <s v="Transfer Fees"/>
    <s v="Office"/>
    <x v="157"/>
    <x v="271"/>
    <n v="579.64599999999996"/>
    <s v="Parfaite"/>
    <s v="CA-M-R39"/>
    <s v="PALF"/>
    <x v="1"/>
    <s v="Congo"/>
    <x v="0"/>
    <x v="0"/>
    <m/>
  </r>
  <r>
    <x v="67"/>
    <s v="Achat 05 Cartouche d'encre  HP Laser noire et couleur 216A"/>
    <s v="Office Materials"/>
    <s v="Office"/>
    <x v="8"/>
    <x v="259"/>
    <n v="579.64599999999996"/>
    <s v="Parfaite"/>
    <s v="CA-M-R40"/>
    <s v="PALF"/>
    <x v="1"/>
    <s v="Congo"/>
    <x v="0"/>
    <x v="0"/>
    <m/>
  </r>
  <r>
    <x v="67"/>
    <s v="P29 -CONGO Frais d'hotel du 11 au 19/03/2025 à Dolisie (08 Nuitées)"/>
    <s v="Travel Subsistence"/>
    <s v="Investigations"/>
    <x v="32"/>
    <x v="267"/>
    <n v="579.64599999999996"/>
    <s v="P29"/>
    <s v="P29-M-R2"/>
    <s v="PALF"/>
    <x v="1"/>
    <s v="Congo"/>
    <x v="0"/>
    <x v="0"/>
    <m/>
  </r>
  <r>
    <x v="67"/>
    <s v="Achat sim/T73"/>
    <s v="Investigation materials"/>
    <s v="Investigations"/>
    <x v="4"/>
    <x v="239"/>
    <n v="579.64599999999996"/>
    <s v="T73"/>
    <s v="T73-M-R11"/>
    <s v="PALF"/>
    <x v="1"/>
    <s v="Congo"/>
    <x v="0"/>
    <x v="0"/>
    <m/>
  </r>
  <r>
    <x v="67"/>
    <s v="RODERLIN-CONGO Ration du 19 au 22/03/2025 à Owando (03 nuitées)"/>
    <s v="Travel Subsistence"/>
    <s v="Legal"/>
    <x v="44"/>
    <x v="237"/>
    <n v="579.64599999999996"/>
    <s v="Roderlin"/>
    <s v="RO-M-D1"/>
    <s v="PALF"/>
    <x v="1"/>
    <s v="Congo"/>
    <x v="0"/>
    <x v="0"/>
    <m/>
  </r>
  <r>
    <x v="68"/>
    <s v="Fonds envoyés à un informateur"/>
    <s v="Trust Building"/>
    <s v="Investigations"/>
    <x v="28"/>
    <x v="272"/>
    <n v="579.64599999999996"/>
    <s v="DOVI"/>
    <s v="DH-M-R3"/>
    <s v="PALF"/>
    <x v="1"/>
    <s v="Congo"/>
    <x v="0"/>
    <x v="0"/>
    <m/>
  </r>
  <r>
    <x v="68"/>
    <s v="Frais de transfert d'argent par western union à l'informateur"/>
    <s v="Transfer Fees"/>
    <s v="Office"/>
    <x v="158"/>
    <x v="273"/>
    <n v="579.64599999999996"/>
    <s v="DOVI"/>
    <s v="DH-M-R4"/>
    <s v="PALF"/>
    <x v="1"/>
    <s v="Congo"/>
    <x v="0"/>
    <x v="0"/>
    <m/>
  </r>
  <r>
    <x v="68"/>
    <s v="Achat billet Brazzaville - Mouyondzi/ IT87"/>
    <s v="Transport"/>
    <s v="Investigations"/>
    <x v="63"/>
    <x v="247"/>
    <n v="579.64599999999996"/>
    <s v="IT87"/>
    <s v="IT87-M-R6"/>
    <s v="PALF"/>
    <x v="1"/>
    <s v="Congo"/>
    <x v="0"/>
    <x v="0"/>
    <m/>
  </r>
  <r>
    <x v="68"/>
    <s v="Frais de transfert d'argent à P29 et G12"/>
    <s v="Transfer Fees"/>
    <s v="Office"/>
    <x v="159"/>
    <x v="274"/>
    <n v="579.64599999999996"/>
    <s v="G12"/>
    <s v="CA-M-R41"/>
    <s v="PALF"/>
    <x v="1"/>
    <s v="Congo"/>
    <x v="0"/>
    <x v="0"/>
    <m/>
  </r>
  <r>
    <x v="69"/>
    <s v="Frais de transfert d'argent à Crepin, Evariste, Abraham, Romain et Donald-Romeo"/>
    <s v="Transfer Fees"/>
    <s v="Office"/>
    <x v="160"/>
    <x v="275"/>
    <n v="579.64599999999996"/>
    <s v="Parfaite"/>
    <s v="CA-M-R42"/>
    <s v="PALF"/>
    <x v="1"/>
    <s v="Congo"/>
    <x v="0"/>
    <x v="0"/>
    <m/>
  </r>
  <r>
    <x v="69"/>
    <s v="T73 - CONGO Rattion  du 21 au 28/03/2025 à Pointe-Noire,Moukondo,Banda  (07nuitées)"/>
    <s v="Travel Subsistence"/>
    <s v="Investigations"/>
    <x v="21"/>
    <x v="246"/>
    <n v="579.64599999999996"/>
    <s v="T73"/>
    <s v="T73-M-D2"/>
    <s v="PALF"/>
    <x v="1"/>
    <s v="Congo"/>
    <x v="0"/>
    <x v="0"/>
    <m/>
  </r>
  <r>
    <x v="69"/>
    <s v="achat billet  Bazzaville - Pointe noire/T73"/>
    <s v="Transport"/>
    <s v="Investigations"/>
    <x v="94"/>
    <x v="276"/>
    <n v="579.64599999999996"/>
    <s v="T73"/>
    <s v="T73-M-R12"/>
    <s v="PALF"/>
    <x v="1"/>
    <s v="Congo"/>
    <x v="0"/>
    <x v="0"/>
    <m/>
  </r>
  <r>
    <x v="69"/>
    <s v="IT87 - CONGO Ration  du 21 au 28/03/2025 à Mouyonzi et Bouansa "/>
    <s v="Travel Subsistence"/>
    <s v="Investigations"/>
    <x v="21"/>
    <x v="246"/>
    <n v="579.64599999999996"/>
    <s v="IT87"/>
    <s v="IT87-M-D2"/>
    <s v="PALF"/>
    <x v="1"/>
    <s v="Congo"/>
    <x v="0"/>
    <x v="0"/>
    <m/>
  </r>
  <r>
    <x v="69"/>
    <s v="Achat billet Owando- Brazzaville /Roderlin"/>
    <s v="Transport"/>
    <s v="Legal"/>
    <x v="12"/>
    <x v="235"/>
    <n v="579.64599999999996"/>
    <s v="Roderlin"/>
    <s v="RO-M-R2"/>
    <s v="PALF"/>
    <x v="1"/>
    <s v="Congo"/>
    <x v="0"/>
    <x v="0"/>
    <m/>
  </r>
  <r>
    <x v="70"/>
    <s v="Raffraichissement et plats pendant l'attente de l'opération"/>
    <s v="Travel Subsistence"/>
    <s v="Operations"/>
    <x v="161"/>
    <x v="277"/>
    <n v="579.64599999999996"/>
    <s v="Crépin"/>
    <s v="CR-M-R6"/>
    <s v="PALF"/>
    <x v="1"/>
    <s v="Congo"/>
    <x v="0"/>
    <x v="0"/>
    <m/>
  </r>
  <r>
    <x v="70"/>
    <s v="Cumul frait de trust building du mois de Mars 2025/P29"/>
    <s v="Trust Building"/>
    <s v="Investigations"/>
    <x v="162"/>
    <x v="278"/>
    <n v="579.64599999999996"/>
    <s v="P29"/>
    <s v="P29-M-D2"/>
    <s v="PALF"/>
    <x v="1"/>
    <s v="Congo"/>
    <x v="0"/>
    <x v="0"/>
    <m/>
  </r>
  <r>
    <x v="70"/>
    <s v="Location vehicule 1 pour extraction  de BS à l'aeroport/P29"/>
    <s v="Transport"/>
    <s v="Investigations"/>
    <x v="64"/>
    <x v="255"/>
    <n v="579.64599999999996"/>
    <s v="P29"/>
    <s v="P29-M-R3"/>
    <s v="PALF"/>
    <x v="1"/>
    <s v="Congo"/>
    <x v="0"/>
    <x v="0"/>
    <m/>
  </r>
  <r>
    <x v="70"/>
    <s v="Location vehicule 2 pour extraction  de  l'aeroport à tsila/P29"/>
    <s v="Transport"/>
    <s v="Investigations"/>
    <x v="64"/>
    <x v="255"/>
    <n v="579.64599999999996"/>
    <s v="P29"/>
    <s v="P29-M-R4"/>
    <s v="PALF"/>
    <x v="1"/>
    <s v="Congo"/>
    <x v="0"/>
    <x v="0"/>
    <m/>
  </r>
  <r>
    <x v="70"/>
    <s v="Location véhicule pour extraction Dolisie-Madingou/P29"/>
    <s v="Transport"/>
    <s v="Investigations"/>
    <x v="30"/>
    <x v="270"/>
    <n v="579.64599999999996"/>
    <s v="P29"/>
    <s v="P29-M-R5"/>
    <s v="PALF"/>
    <x v="1"/>
    <s v="Congo"/>
    <x v="0"/>
    <x v="0"/>
    <m/>
  </r>
  <r>
    <x v="70"/>
    <s v="Achat billet madingou-brazzaville/P29"/>
    <s v="Transport"/>
    <s v="Investigations"/>
    <x v="12"/>
    <x v="235"/>
    <n v="579.64599999999996"/>
    <s v="P29"/>
    <s v="P29-M-R6"/>
    <s v="PALF"/>
    <x v="1"/>
    <s v="Congo"/>
    <x v="0"/>
    <x v="0"/>
    <m/>
  </r>
  <r>
    <x v="70"/>
    <s v="G12 - CONGO Frais d'hotel du 07 au 22/03/2025 à Dolisie (15 Nuitées) "/>
    <s v="Travel Subsistence"/>
    <s v="Investigations"/>
    <x v="163"/>
    <x v="279"/>
    <n v="579.64599999999996"/>
    <s v="G12"/>
    <s v="G12-M-R2"/>
    <s v="PALF"/>
    <x v="1"/>
    <s v="Congo"/>
    <x v="0"/>
    <x v="0"/>
    <m/>
  </r>
  <r>
    <x v="70"/>
    <s v="Achat billet Madingou - brazzaville/G12"/>
    <s v="Transport"/>
    <s v="Investigations"/>
    <x v="12"/>
    <x v="235"/>
    <n v="579.64599999999996"/>
    <s v="G12"/>
    <s v="G12-M-R3"/>
    <s v="PALF"/>
    <x v="1"/>
    <s v="Congo"/>
    <x v="0"/>
    <x v="0"/>
    <m/>
  </r>
  <r>
    <x v="70"/>
    <s v="Rafraichissement en attente opération "/>
    <s v="Travel Subsistence"/>
    <s v="Operations"/>
    <x v="36"/>
    <x v="280"/>
    <n v="579.64599999999996"/>
    <s v="Romain"/>
    <s v="RM-M-R3"/>
    <s v="PALF"/>
    <x v="1"/>
    <s v="Congo"/>
    <x v="0"/>
    <x v="0"/>
    <m/>
  </r>
  <r>
    <x v="70"/>
    <s v="Rafraîchissement attente OP"/>
    <s v="Travel Subsistence"/>
    <s v="Operations"/>
    <x v="164"/>
    <x v="281"/>
    <n v="579.64599999999996"/>
    <s v="Abraham"/>
    <s v="AB-M-R4"/>
    <s v="PALF"/>
    <x v="1"/>
    <s v="Congo"/>
    <x v="0"/>
    <x v="0"/>
    <m/>
  </r>
  <r>
    <x v="70"/>
    <s v="RODERLIN-CONGO frais d'hôtel du 19 au 22/03/2025 à Owando (03 nuitées)"/>
    <s v="Travel Subsistence"/>
    <s v="Legal"/>
    <x v="22"/>
    <x v="238"/>
    <n v="579.64599999999996"/>
    <s v="Roderlin"/>
    <s v="RO-M-R3"/>
    <s v="PALF"/>
    <x v="3"/>
    <s v="Congo"/>
    <x v="0"/>
    <x v="0"/>
    <m/>
  </r>
  <r>
    <x v="70"/>
    <s v="Achat carburant BJ OP"/>
    <s v="Transport"/>
    <s v="Operations"/>
    <x v="7"/>
    <x v="257"/>
    <n v="579.64599999999996"/>
    <s v="Donald-Romeo"/>
    <s v="DR-M-R2"/>
    <s v="PALF"/>
    <x v="3"/>
    <s v="Congo"/>
    <x v="0"/>
    <x v="0"/>
    <m/>
  </r>
  <r>
    <x v="70"/>
    <s v="Raffraichissement OP  à Owando/10  gendarmes et moi"/>
    <s v="Travel Subsistence"/>
    <s v="Legal"/>
    <x v="165"/>
    <x v="282"/>
    <n v="579.64599999999996"/>
    <s v="Donald-Romeo"/>
    <s v="DR-M-R3"/>
    <s v="PALF"/>
    <x v="3"/>
    <s v="Congo"/>
    <x v="0"/>
    <x v="0"/>
    <m/>
  </r>
  <r>
    <x v="70"/>
    <s v="Rafraichissement de mon équipe lors de l'opération"/>
    <s v="Travel Subsistence"/>
    <s v="Operations"/>
    <x v="36"/>
    <x v="280"/>
    <n v="579.64599999999996"/>
    <s v="Evariste"/>
    <s v="EV-M-R2"/>
    <s v="PALF"/>
    <x v="3"/>
    <s v="Congo"/>
    <x v="0"/>
    <x v="0"/>
    <m/>
  </r>
  <r>
    <x v="71"/>
    <s v="P29 -CONGO Frais d'hotel du 19 au 23/03/2025 à Dolisie lieu op(P29) (04 Nuitées)"/>
    <s v="Travel Subsistence"/>
    <s v="Operations"/>
    <x v="166"/>
    <x v="283"/>
    <n v="579.64599999999996"/>
    <s v="P29"/>
    <s v="P29-M-R7"/>
    <s v="PALF"/>
    <x v="3"/>
    <s v="Congo"/>
    <x v="0"/>
    <x v="0"/>
    <m/>
  </r>
  <r>
    <x v="71"/>
    <s v="P29 -CONGO Frais d'hotel du 19 au 23/03/2025 à Dolisie lieu op(Crépin) (04 Nuitées)"/>
    <s v="Travel Subsistence"/>
    <s v="Operations"/>
    <x v="166"/>
    <x v="283"/>
    <n v="579.64599999999996"/>
    <s v="P29"/>
    <s v="P29-M-R8"/>
    <s v="PALF"/>
    <x v="3"/>
    <s v="Congo"/>
    <x v="0"/>
    <x v="0"/>
    <m/>
  </r>
  <r>
    <x v="72"/>
    <s v="Bonus de 18 gendarmes pour l'opération du 22/03/2025 à Dolisie"/>
    <s v="Bonus"/>
    <s v="Operations"/>
    <x v="113"/>
    <x v="284"/>
    <n v="579.64599999999996"/>
    <s v="Crépin"/>
    <s v="CR-M-R7"/>
    <s v="PALF"/>
    <x v="1"/>
    <s v="Congo"/>
    <x v="0"/>
    <x v="0"/>
    <m/>
  </r>
  <r>
    <x v="72"/>
    <s v="Bonus de 02 EF pour l'opération du 22/03/2025 à Dolisie"/>
    <s v="Bonus"/>
    <s v="Operations"/>
    <x v="0"/>
    <x v="264"/>
    <n v="579.64599999999996"/>
    <s v="Crépin"/>
    <s v="CR-M-R8"/>
    <s v="PALF"/>
    <x v="3"/>
    <s v="Congo"/>
    <x v="0"/>
    <x v="0"/>
    <m/>
  </r>
  <r>
    <x v="72"/>
    <s v="Frais de transfert d'argent  à crepin et IT87"/>
    <s v="Transfer Fees"/>
    <s v="Office"/>
    <x v="167"/>
    <x v="285"/>
    <n v="579.64599999999996"/>
    <s v="Parfaite"/>
    <s v="CA-M-R44"/>
    <s v="PALF"/>
    <x v="1"/>
    <s v="Congo"/>
    <x v="0"/>
    <x v="0"/>
    <m/>
  </r>
  <r>
    <x v="72"/>
    <s v="Frais de transfert d'argent à  T73 par  momo"/>
    <s v="Transfer Fees"/>
    <s v="Office"/>
    <x v="168"/>
    <x v="286"/>
    <n v="579.64599999999996"/>
    <s v="Parfaite"/>
    <s v="CA-M-R45"/>
    <s v="PALF"/>
    <x v="1"/>
    <s v="Congo"/>
    <x v="0"/>
    <x v="0"/>
    <m/>
  </r>
  <r>
    <x v="72"/>
    <s v="Frais de transport mission à Dolisie de maitre BANZOUZI Alain du 25/03/ au 05/04/2025 suivi audience"/>
    <s v="Transport"/>
    <s v="Legal"/>
    <x v="92"/>
    <x v="287"/>
    <n v="579.64599999999996"/>
    <s v="Parfaite"/>
    <s v="CA-M-R46"/>
    <s v="PALF"/>
    <x v="3"/>
    <s v="Congo"/>
    <x v="0"/>
    <x v="0"/>
    <m/>
  </r>
  <r>
    <x v="72"/>
    <s v="P29 -CONGO Frais d'hotel du 22 au 24/03/2025 à Madingou (02 Nuitées)"/>
    <s v="Travel Subsistence"/>
    <s v="Investigations"/>
    <x v="44"/>
    <x v="237"/>
    <n v="579.64599999999996"/>
    <s v="P29"/>
    <s v="P29-M-R9"/>
    <s v="PALF"/>
    <x v="3"/>
    <s v="Congo"/>
    <x v="0"/>
    <x v="0"/>
    <m/>
  </r>
  <r>
    <x v="72"/>
    <s v="Cumul frait de transport du mois de Mars 2025/P29"/>
    <s v="Transport"/>
    <s v="Investigations"/>
    <x v="118"/>
    <x v="288"/>
    <n v="579.64599999999996"/>
    <s v="P29"/>
    <s v="P29-M-D3"/>
    <s v="PALF"/>
    <x v="3"/>
    <s v="Congo"/>
    <x v="0"/>
    <x v="0"/>
    <m/>
  </r>
  <r>
    <x v="72"/>
    <s v="achat billet Pointe Noire - Moukondo/T73"/>
    <s v="Transport"/>
    <s v="Investigations"/>
    <x v="31"/>
    <x v="266"/>
    <n v="579.64599999999996"/>
    <s v="T73"/>
    <s v="T73-M-R13"/>
    <s v="PALF"/>
    <x v="3"/>
    <s v="Congo"/>
    <x v="0"/>
    <x v="0"/>
    <m/>
  </r>
  <r>
    <x v="72"/>
    <s v="T73 - CONGO Frais d'hotel du 21 au 24/03/2025 (03 nuitées ) à Pointe noire"/>
    <s v="Travel Subsistence"/>
    <s v="Investigations"/>
    <x v="22"/>
    <x v="238"/>
    <n v="579.64599999999996"/>
    <s v="T73"/>
    <s v="T73-M-R14"/>
    <s v="PALF"/>
    <x v="3"/>
    <s v="Congo"/>
    <x v="0"/>
    <x v="0"/>
    <m/>
  </r>
  <r>
    <x v="72"/>
    <s v="G12 - CONGO Frais d'hotel du 22 au 24/03/2025 à Madingou (02 Nuitées)"/>
    <s v="Travel Subsistence"/>
    <s v="Investigations"/>
    <x v="44"/>
    <x v="237"/>
    <n v="579.64599999999996"/>
    <s v="G12"/>
    <s v="G12-M-R4"/>
    <s v="PALF"/>
    <x v="3"/>
    <s v="Congo"/>
    <x v="0"/>
    <x v="0"/>
    <m/>
  </r>
  <r>
    <x v="72"/>
    <s v="Achat produit d'entretien  et Main d'œuvre du groupe électrogène/Bureau PALF"/>
    <s v="Office Materials"/>
    <s v="Office"/>
    <x v="169"/>
    <x v="289"/>
    <n v="579.64599999999996"/>
    <s v="Roderlin"/>
    <s v="CA-M-R43"/>
    <s v="PALF"/>
    <x v="3"/>
    <s v="Congo"/>
    <x v="0"/>
    <x v="0"/>
    <m/>
  </r>
  <r>
    <x v="72"/>
    <s v="Ration et frais d'hotel mission à Dolisie de maitre BANZOUZI Alain du 25/03/ au 05/04/2025 suivi audience "/>
    <s v="Travel Subsistence"/>
    <s v="Legal"/>
    <x v="170"/>
    <x v="290"/>
    <n v="579.64599999999996"/>
    <s v="Roderlin"/>
    <s v="CA-M-R47"/>
    <s v="PALF"/>
    <x v="1"/>
    <s v="Congo"/>
    <x v="0"/>
    <x v="0"/>
    <m/>
  </r>
  <r>
    <x v="73"/>
    <s v="achat billet Moukondo - Banda/T73"/>
    <s v="Transport"/>
    <s v="Investigations"/>
    <x v="64"/>
    <x v="255"/>
    <n v="579.64599999999996"/>
    <s v="T73"/>
    <s v="T73-M-R15"/>
    <s v="PALF"/>
    <x v="3"/>
    <s v="Congo"/>
    <x v="0"/>
    <x v="0"/>
    <m/>
  </r>
  <r>
    <x v="73"/>
    <s v="T73 - CONGO Frais d'hotel du 24 au 25/03/2025 (01nuitées) à Moukondo"/>
    <s v="Travel Subsistence"/>
    <s v="Investigations"/>
    <x v="64"/>
    <x v="255"/>
    <n v="579.64599999999996"/>
    <s v="T73"/>
    <s v="T73-M-R16"/>
    <s v="PALF"/>
    <x v="3"/>
    <s v="Congo"/>
    <x v="0"/>
    <x v="0"/>
    <m/>
  </r>
  <r>
    <x v="73"/>
    <s v="achat carte sim "/>
    <s v="Investigation materials"/>
    <s v="Investigations"/>
    <x v="4"/>
    <x v="239"/>
    <n v="579.64599999999996"/>
    <s v="G12"/>
    <s v="G12-M-R5"/>
    <s v="PALF"/>
    <x v="3"/>
    <s v="Congo"/>
    <x v="0"/>
    <x v="0"/>
    <m/>
  </r>
  <r>
    <x v="73"/>
    <s v="Frais de transfert d'argent à Crepin, Evariste, Abraham, Romain et Donald-Romeo"/>
    <s v="Transfer Fees"/>
    <s v="Office"/>
    <x v="171"/>
    <x v="291"/>
    <n v="579.64599999999996"/>
    <s v="G12"/>
    <s v="CA-M-R48"/>
    <s v="PALF"/>
    <x v="3"/>
    <s v="Congo"/>
    <x v="0"/>
    <x v="0"/>
    <m/>
  </r>
  <r>
    <x v="74"/>
    <s v="Achat billet Dolisie-Brazzaville/Abraham"/>
    <s v="Transport"/>
    <s v="Legal"/>
    <x v="4"/>
    <x v="239"/>
    <n v="579.64599999999996"/>
    <s v="Abraham"/>
    <s v="AB-M-R5"/>
    <s v="PALF"/>
    <x v="3"/>
    <s v="Congo"/>
    <x v="0"/>
    <x v="0"/>
    <m/>
  </r>
  <r>
    <x v="73"/>
    <s v="Cumul frais de Jails visits du mois de Mars 2025/Abraham"/>
    <s v="Jail visit"/>
    <s v="Legal"/>
    <x v="130"/>
    <x v="292"/>
    <n v="579.64599999999996"/>
    <s v="Abraham"/>
    <s v="AB-M-D2"/>
    <s v="PALF"/>
    <x v="3"/>
    <s v="Congo"/>
    <x v="0"/>
    <x v="0"/>
    <m/>
  </r>
  <r>
    <x v="72"/>
    <s v="ABRAHAM - CONGO frais d'Hôtel (Hôtel La Gloire) du 17/03/2025 au 26/03/2025 Dolisie (09Nuitées)"/>
    <s v="Travel Subsistence"/>
    <s v="Legal"/>
    <x v="137"/>
    <x v="293"/>
    <n v="579.64599999999996"/>
    <s v="Abraham"/>
    <s v="AB-M-R6"/>
    <s v="PALF"/>
    <x v="1"/>
    <s v="Congo"/>
    <x v="0"/>
    <x v="0"/>
    <m/>
  </r>
  <r>
    <x v="73"/>
    <s v="Achat carburant groupe electrogène Bureau"/>
    <s v="Office Materials"/>
    <s v="Office"/>
    <x v="7"/>
    <x v="257"/>
    <n v="579.64599999999996"/>
    <s v="Roderlin"/>
    <s v="CA-M-R49"/>
    <s v="PALF"/>
    <x v="1"/>
    <s v="Congo"/>
    <x v="0"/>
    <x v="0"/>
    <m/>
  </r>
  <r>
    <x v="73"/>
    <s v="Paiement salaire du mois de Mars 2025/Homéfa DOVI/3654835"/>
    <s v="Personnel"/>
    <s v="Management"/>
    <x v="57"/>
    <x v="243"/>
    <n v="579.64599999999996"/>
    <s v="BCI"/>
    <s v="BQ-M-R23"/>
    <s v="PALF"/>
    <x v="1"/>
    <s v="Congo"/>
    <x v="0"/>
    <x v="0"/>
    <m/>
  </r>
  <r>
    <x v="73"/>
    <s v="Paiement salaire du mois de Mars 2025/BAVOUMINA NZOUSSI Dina Parfaite/365831"/>
    <s v="Personnel"/>
    <s v="Office"/>
    <x v="96"/>
    <x v="294"/>
    <n v="579.64599999999996"/>
    <s v="BCI"/>
    <s v="BQ-M-R24"/>
    <s v="PALF"/>
    <x v="1"/>
    <s v="Congo"/>
    <x v="0"/>
    <x v="0"/>
    <m/>
  </r>
  <r>
    <x v="73"/>
    <s v="Paiement salaire du mois de Mars 2025/FOUMBA Roderlin/3654825"/>
    <s v="Personnel"/>
    <s v="Legal"/>
    <x v="58"/>
    <x v="260"/>
    <n v="579.64599999999996"/>
    <s v="BCI"/>
    <s v="BQ-M-R25"/>
    <s v="PALF"/>
    <x v="1"/>
    <s v="Congo"/>
    <x v="0"/>
    <x v="0"/>
    <m/>
  </r>
  <r>
    <x v="73"/>
    <s v="Paiement salaire du mois de Mars 2025/BOUNGOU MAKOSSO Abraham/3654824"/>
    <s v="Personnel"/>
    <s v="Legal"/>
    <x v="58"/>
    <x v="260"/>
    <n v="579.64599999999996"/>
    <s v="BCI"/>
    <s v="BQ-M-R26"/>
    <s v="PALF"/>
    <x v="1"/>
    <s v="Congo"/>
    <x v="0"/>
    <x v="0"/>
    <m/>
  </r>
  <r>
    <x v="73"/>
    <s v="Paiement salaire du mois de Mars 2025/LOUNDOU JeanRomain/3654832"/>
    <s v="Personnel"/>
    <s v="Legal"/>
    <x v="58"/>
    <x v="260"/>
    <n v="579.64599999999996"/>
    <s v="BCI"/>
    <s v="BQ-M-R27"/>
    <s v="PALF"/>
    <x v="1"/>
    <s v="Congo"/>
    <x v="0"/>
    <x v="0"/>
    <m/>
  </r>
  <r>
    <x v="73"/>
    <s v="Paiement salaire du mois de Mars 2025/Crepin IBOUILI-IBOUILI"/>
    <s v="Personnel"/>
    <s v="Legal"/>
    <x v="59"/>
    <x v="295"/>
    <n v="579.64599999999996"/>
    <s v="BCI"/>
    <s v="BQ-M-R28"/>
    <s v="PALF"/>
    <x v="1"/>
    <s v="Congo"/>
    <x v="0"/>
    <x v="0"/>
    <m/>
  </r>
  <r>
    <x v="73"/>
    <s v="Paiement salaire du mois de Mars 2025/Evariste LELOUSSI"/>
    <s v="Personnel"/>
    <s v="Media"/>
    <x v="62"/>
    <x v="296"/>
    <n v="579.64599999999996"/>
    <s v="BCI"/>
    <s v="BQ-M-R29"/>
    <s v="PALF"/>
    <x v="1"/>
    <s v="Congo"/>
    <x v="0"/>
    <x v="0"/>
    <m/>
  </r>
  <r>
    <x v="73"/>
    <s v="Paiement salaire du mois de Mars 2025/PINDI BINGA Donald- Roméo"/>
    <s v="Personnel"/>
    <s v="Legal"/>
    <x v="172"/>
    <x v="297"/>
    <n v="579.64599999999996"/>
    <s v="BCI"/>
    <s v="BQ-M-R30"/>
    <s v="PALF"/>
    <x v="1"/>
    <s v="Congo"/>
    <x v="0"/>
    <x v="0"/>
    <m/>
  </r>
  <r>
    <x v="74"/>
    <s v="Reglement prestation de nettoyage jardin PALF du mois de Février 2025"/>
    <s v="Services"/>
    <s v="Office"/>
    <x v="0"/>
    <x v="264"/>
    <n v="579.64599999999996"/>
    <s v="Parfaite"/>
    <s v="CA-M-R50"/>
    <s v="PALF"/>
    <x v="1"/>
    <s v="Congo"/>
    <x v="0"/>
    <x v="0"/>
    <m/>
  </r>
  <r>
    <x v="74"/>
    <s v="IT87 - CONGO Frais d'hôtel  du 21 au 26/03/2025 à Mouyondzi (05 nuitées)"/>
    <s v="Travel Subsistence"/>
    <s v="Investigations"/>
    <x v="116"/>
    <x v="261"/>
    <n v="579.64599999999996"/>
    <s v="IT87"/>
    <s v="IT87-M-R7"/>
    <s v="PALF"/>
    <x v="1"/>
    <s v="Congo"/>
    <x v="0"/>
    <x v="0"/>
    <m/>
  </r>
  <r>
    <x v="74"/>
    <s v="Achat billet Mouyondzi - Bouansa/ IT87"/>
    <s v="Transport"/>
    <s v="Investigations"/>
    <x v="67"/>
    <x v="298"/>
    <n v="579.64599999999996"/>
    <s v="IT87"/>
    <s v="IT87-M-R8"/>
    <s v="PALF"/>
    <x v="3"/>
    <s v="Congo"/>
    <x v="0"/>
    <x v="0"/>
    <m/>
  </r>
  <r>
    <x v="74"/>
    <s v="EVARISTE - CONGO Frais de l'hôtel du 17 au 26 mars 2025 à Dolisie (09 Nuitées)"/>
    <s v="Travel Subsistence"/>
    <s v="Operations"/>
    <x v="137"/>
    <x v="293"/>
    <n v="579.64599999999996"/>
    <s v="Evariste"/>
    <s v="EV-M-R3"/>
    <s v="PALF"/>
    <x v="3"/>
    <s v="Congo"/>
    <x v="0"/>
    <x v="0"/>
    <m/>
  </r>
  <r>
    <x v="74"/>
    <s v="Achat Billet  Dolisie-Brazzaville/Evariste"/>
    <s v="Transport"/>
    <s v="Operations"/>
    <x v="4"/>
    <x v="239"/>
    <n v="579.64599999999996"/>
    <s v="Evariste"/>
    <s v="EV-M-R4"/>
    <s v="PALF"/>
    <x v="3"/>
    <s v="Congo"/>
    <x v="0"/>
    <x v="0"/>
    <m/>
  </r>
  <r>
    <x v="74"/>
    <s v="Bonus media portant sur l'interpellation de 2 Présumés trafiquants le 22/03/205 à Dolisie"/>
    <s v="Bonus to media officer"/>
    <s v="Media"/>
    <x v="58"/>
    <x v="260"/>
    <n v="579.64599999999996"/>
    <s v="Evariste"/>
    <s v="CA-M-D14"/>
    <s v="PALF"/>
    <x v="1"/>
    <s v="Congo"/>
    <x v="0"/>
    <x v="0"/>
    <m/>
  </r>
  <r>
    <x v="74"/>
    <s v="Frais de virement salaire du mois de Mars 2025"/>
    <s v="Bank fees"/>
    <s v="Office"/>
    <x v="173"/>
    <x v="299"/>
    <n v="579.64599999999996"/>
    <s v="BCI"/>
    <s v="BQ-M-R32"/>
    <s v="PALF"/>
    <x v="3"/>
    <s v="Congo"/>
    <x v="0"/>
    <x v="0"/>
    <m/>
  </r>
  <r>
    <x v="75"/>
    <s v="T73 - CONGO Frais d'hotel du 25 au 27/03/20225 (02 nuitées) à Banda"/>
    <s v="Travel Subsistence"/>
    <s v="Investigations"/>
    <x v="44"/>
    <x v="237"/>
    <n v="579.64599999999996"/>
    <s v="T73"/>
    <s v="T73-M-R17"/>
    <s v="PALF"/>
    <x v="3"/>
    <s v="Congo"/>
    <x v="0"/>
    <x v="0"/>
    <m/>
  </r>
  <r>
    <x v="75"/>
    <s v="achat billet/T73 : Banda - Loudima/T73"/>
    <s v="Transport"/>
    <s v="Investigations"/>
    <x v="64"/>
    <x v="255"/>
    <n v="579.64599999999996"/>
    <s v="T73"/>
    <s v="T73-M-R18"/>
    <s v="PALF"/>
    <x v="3"/>
    <s v="Congo"/>
    <x v="0"/>
    <x v="0"/>
    <m/>
  </r>
  <r>
    <x v="75"/>
    <s v="Cumul frais de trust building du mois de Mars 2025/T73"/>
    <s v="Trust Building"/>
    <s v="Investigations"/>
    <x v="122"/>
    <x v="300"/>
    <n v="579.64599999999996"/>
    <s v="T73"/>
    <s v="T73-M-D3"/>
    <s v="PALF"/>
    <x v="3"/>
    <s v="Congo"/>
    <x v="0"/>
    <x v="0"/>
    <m/>
  </r>
  <r>
    <x v="75"/>
    <s v="Achat du Billet Dolisie-Sibiti/Romain"/>
    <s v="Transport"/>
    <s v="Legal"/>
    <x v="37"/>
    <x v="301"/>
    <n v="579.64599999999996"/>
    <s v="Romain"/>
    <s v="RM-M-R4"/>
    <s v="PALF"/>
    <x v="3"/>
    <s v="Congo"/>
    <x v="0"/>
    <x v="0"/>
    <m/>
  </r>
  <r>
    <x v="75"/>
    <s v="Frais d'impression de la procédure de la gendarmerie"/>
    <s v="Office Materials"/>
    <s v="Operations"/>
    <x v="174"/>
    <x v="302"/>
    <n v="579.64599999999996"/>
    <s v="Donald-Romeo"/>
    <s v="DR-M-R4"/>
    <s v="PALF"/>
    <x v="3"/>
    <s v="Congo"/>
    <x v="0"/>
    <x v="0"/>
    <m/>
  </r>
  <r>
    <x v="76"/>
    <s v="ramassage Ordure du mois de Mars 2025/Bureau PALF"/>
    <s v="Services"/>
    <s v="Office"/>
    <x v="37"/>
    <x v="301"/>
    <n v="579.64599999999996"/>
    <s v="Parfaite"/>
    <s v="CA-M-R51"/>
    <s v="PALF"/>
    <x v="3"/>
    <s v="Congo"/>
    <x v="0"/>
    <x v="0"/>
    <m/>
  </r>
  <r>
    <x v="76"/>
    <s v="Reglement prestation de nettoyage Bureau PALF du mois de Mars 2025"/>
    <s v="Services"/>
    <s v="Office"/>
    <x v="73"/>
    <x v="303"/>
    <n v="579.64599999999996"/>
    <s v="Parfaite"/>
    <s v="CA-M-R53"/>
    <s v="PALF"/>
    <x v="3"/>
    <s v="Congo"/>
    <x v="0"/>
    <x v="0"/>
    <m/>
  </r>
  <r>
    <x v="76"/>
    <s v="T73 - CONGO Frais d'hotel du 24 au 25/03/2025 (01nuitées) à Loudima"/>
    <s v="Travel Subsistence"/>
    <s v="Investigations"/>
    <x v="64"/>
    <x v="255"/>
    <n v="579.64599999999996"/>
    <s v="T73"/>
    <s v="T73-M-R19"/>
    <s v="PALF"/>
    <x v="3"/>
    <s v="Congo"/>
    <x v="0"/>
    <x v="0"/>
    <m/>
  </r>
  <r>
    <x v="76"/>
    <s v="achat billet Loudima - Brazzaville/T73"/>
    <s v="Transport"/>
    <s v="Investigations"/>
    <x v="12"/>
    <x v="235"/>
    <n v="579.64599999999996"/>
    <s v="T73"/>
    <s v="T73-M-R20"/>
    <s v="PALF"/>
    <x v="1"/>
    <s v="Congo"/>
    <x v="0"/>
    <x v="0"/>
    <m/>
  </r>
  <r>
    <x v="76"/>
    <s v="IT87 - CONGO Frais d'hôtel du 26 au 28/03/2025 à Bouansa (02 nuitées)"/>
    <s v="Travel Subsistence"/>
    <s v="Investigations"/>
    <x v="44"/>
    <x v="237"/>
    <n v="579.64599999999996"/>
    <s v="IT87"/>
    <s v="IT87-M-R9"/>
    <s v="PALF"/>
    <x v="1"/>
    <s v="Congo"/>
    <x v="0"/>
    <x v="0"/>
    <m/>
  </r>
  <r>
    <x v="76"/>
    <s v="Achat billet Bouansa - Brazzaville/ IT87"/>
    <s v="Transport"/>
    <s v="Investigations"/>
    <x v="12"/>
    <x v="235"/>
    <n v="579.64599999999996"/>
    <s v="IT87"/>
    <s v="IT87-M-R10"/>
    <s v="PALF"/>
    <x v="1"/>
    <s v="Congo"/>
    <x v="0"/>
    <x v="0"/>
    <m/>
  </r>
  <r>
    <x v="76"/>
    <s v="Cumul frais de Jails visists du mois de Mars 2025/Romain"/>
    <s v="Jail visit"/>
    <s v="Legal"/>
    <x v="175"/>
    <x v="304"/>
    <n v="579.64599999999996"/>
    <s v="Romain"/>
    <s v="RM-M-D3"/>
    <s v="PALF"/>
    <x v="1"/>
    <s v="Congo"/>
    <x v="0"/>
    <x v="0"/>
    <m/>
  </r>
  <r>
    <x v="76"/>
    <s v="Cumul frais de transport local du mois de Mars 2025/Abraham"/>
    <s v="Transport"/>
    <s v="Legal"/>
    <x v="131"/>
    <x v="305"/>
    <n v="579.64599999999996"/>
    <s v="Abraham"/>
    <s v="AB-M-D3"/>
    <s v="PALF"/>
    <x v="1"/>
    <s v="Congo"/>
    <x v="0"/>
    <x v="0"/>
    <m/>
  </r>
  <r>
    <x v="76"/>
    <s v="Frais de transfert d'argent  à crepin et Donald-Roméo"/>
    <s v="Transfer Fees"/>
    <s v="Office"/>
    <x v="176"/>
    <x v="306"/>
    <n v="579.64599999999996"/>
    <s v="Abraham"/>
    <s v="CA-M-R52"/>
    <s v="PALF"/>
    <x v="1"/>
    <s v="Congo"/>
    <x v="0"/>
    <x v="0"/>
    <m/>
  </r>
  <r>
    <x v="76"/>
    <s v="Cumul frais de Jails visits du mois de Mars 2025/Donald-Romeo"/>
    <s v="Jail visit"/>
    <s v="Legal"/>
    <x v="101"/>
    <x v="256"/>
    <n v="579.64599999999996"/>
    <s v="Donald-Romeo"/>
    <s v="DR-M-D2"/>
    <s v="PALF"/>
    <x v="1"/>
    <s v="Congo"/>
    <x v="0"/>
    <x v="0"/>
    <m/>
  </r>
  <r>
    <x v="76"/>
    <s v="Cumul frais de transport local du mois de Mars  2025 /Evariste "/>
    <s v="Transport"/>
    <s v="Media"/>
    <x v="177"/>
    <x v="307"/>
    <n v="579.64599999999996"/>
    <s v="Evariste"/>
    <s v="EV-M-D2"/>
    <s v="PALF"/>
    <x v="1"/>
    <s v="Congo"/>
    <x v="0"/>
    <x v="0"/>
    <m/>
  </r>
  <r>
    <x v="76"/>
    <s v="Bonus media portant sur l'interpellation de 2 Présumés trafiquants le 22/03/205 à Dolisie"/>
    <s v="Bonus to media officer"/>
    <s v="Media"/>
    <x v="52"/>
    <x v="308"/>
    <n v="579.64599999999996"/>
    <s v="Evariste"/>
    <s v="CA-M-D15"/>
    <s v="PALF"/>
    <x v="1"/>
    <s v="Congo"/>
    <x v="0"/>
    <x v="0"/>
    <m/>
  </r>
  <r>
    <x v="76"/>
    <s v="Reglement honoraire du mois de Mars 2025/P29/3654837"/>
    <s v="Personnel"/>
    <s v="Investigations"/>
    <x v="9"/>
    <x v="309"/>
    <n v="579.64599999999996"/>
    <s v="BCI"/>
    <s v="BQ-M-R33"/>
    <s v="PALF"/>
    <x v="1"/>
    <s v="Congo"/>
    <x v="0"/>
    <x v="0"/>
    <m/>
  </r>
  <r>
    <x v="76"/>
    <s v="Reglement honoraire du mois de Mars 2025/G12/3654833"/>
    <s v="Personnel"/>
    <s v="Investigations"/>
    <x v="178"/>
    <x v="310"/>
    <n v="579.64599999999996"/>
    <s v="BCI"/>
    <s v="BQ-M-R34"/>
    <s v="PALF"/>
    <x v="1"/>
    <s v="Congo"/>
    <x v="0"/>
    <x v="0"/>
    <m/>
  </r>
  <r>
    <x v="77"/>
    <s v="Bonus pour 12 Policiers ayant effectué le transferèment de Moussa Grâce de Mossendjo à Dolisie"/>
    <s v="Bonus"/>
    <s v="Operations"/>
    <x v="32"/>
    <x v="267"/>
    <n v="579.64599999999996"/>
    <s v="Crépin"/>
    <s v="CR-M-R9"/>
    <s v="PALF"/>
    <x v="1"/>
    <s v="Congo"/>
    <x v="0"/>
    <x v="0"/>
    <m/>
  </r>
  <r>
    <x v="77"/>
    <s v="Ration pour 12 policiers moyennant 5000 par policier ayant effectué le transferèment de Mossendjo à Dolisie"/>
    <s v="Travel Subsistence"/>
    <s v="Operations"/>
    <x v="23"/>
    <x v="311"/>
    <n v="579.64599999999996"/>
    <s v="Crépin"/>
    <s v="CR-M-R10"/>
    <s v="PALF"/>
    <x v="1"/>
    <s v="Congo"/>
    <x v="0"/>
    <x v="0"/>
    <m/>
  </r>
  <r>
    <x v="77"/>
    <s v="Carburant aller de la BJ Mossendjo-Dolisie pour le transferèment"/>
    <s v="Transport"/>
    <s v="Operations"/>
    <x v="179"/>
    <x v="312"/>
    <n v="579.64599999999996"/>
    <s v="Crépin"/>
    <s v="CR-M-R11"/>
    <s v="PALF"/>
    <x v="1"/>
    <s v="Congo"/>
    <x v="0"/>
    <x v="0"/>
    <m/>
  </r>
  <r>
    <x v="77"/>
    <s v="Carburant retour de la BJ Dolisie-Mossendjo apès le transferèment"/>
    <s v="Transport"/>
    <s v="Operations"/>
    <x v="179"/>
    <x v="312"/>
    <n v="579.64599999999996"/>
    <s v="Crépin"/>
    <s v="CR-M-R12"/>
    <s v="PALF"/>
    <x v="1"/>
    <s v="Congo"/>
    <x v="0"/>
    <x v="0"/>
    <m/>
  </r>
  <r>
    <x v="77"/>
    <s v="Cumul frais de transport local du mois de Mars 2025/CREPIN"/>
    <s v="Transport"/>
    <s v="Legal"/>
    <x v="145"/>
    <x v="313"/>
    <n v="579.64599999999996"/>
    <s v="Crépin"/>
    <s v="CR-M-D3"/>
    <s v="PALF"/>
    <x v="1"/>
    <s v="Congo"/>
    <x v="0"/>
    <x v="0"/>
    <m/>
  </r>
  <r>
    <x v="77"/>
    <s v="Cumul frais de transport local du mois de Mars 2025/T73"/>
    <s v="Transport"/>
    <s v="Investigations"/>
    <x v="180"/>
    <x v="314"/>
    <n v="579.64599999999996"/>
    <s v="T73"/>
    <s v="T73-M-D4"/>
    <s v="PALF"/>
    <x v="1"/>
    <s v="Congo"/>
    <x v="0"/>
    <x v="0"/>
    <m/>
  </r>
  <r>
    <x v="75"/>
    <s v="ROMAIN - CONGO Frais d'hotel du 17/03/ au 27/03/2025 à Dolisie (10 nuitées)"/>
    <s v="Travel Subsistence"/>
    <s v="Legal"/>
    <x v="11"/>
    <x v="242"/>
    <n v="579.64599999999996"/>
    <s v="Romain"/>
    <s v="RM-M-R5"/>
    <s v="PALF"/>
    <x v="1"/>
    <s v="Congo"/>
    <x v="0"/>
    <x v="0"/>
    <m/>
  </r>
  <r>
    <x v="77"/>
    <s v="ROMAIN - CONGO Frais d'hotel du 27/03/ au 29/03/2025 à Sibiti(02 nuitées)"/>
    <s v="Travel Subsistence"/>
    <s v="Legal"/>
    <x v="44"/>
    <x v="237"/>
    <n v="579.64599999999996"/>
    <s v="Romain"/>
    <s v="RM-M-R6"/>
    <s v="PALF"/>
    <x v="1"/>
    <s v="Congo"/>
    <x v="0"/>
    <x v="0"/>
    <m/>
  </r>
  <r>
    <x v="77"/>
    <s v="Billet SIBITI- Nkayi/Romain "/>
    <s v="Transport"/>
    <s v="Legal"/>
    <x v="63"/>
    <x v="247"/>
    <n v="579.64599999999996"/>
    <s v="Romain"/>
    <s v="RM-M-R7"/>
    <s v="PALF"/>
    <x v="1"/>
    <s v="Congo"/>
    <x v="0"/>
    <x v="0"/>
    <m/>
  </r>
  <r>
    <x v="77"/>
    <s v="Billet Nkayi-Brazzaville/Romain"/>
    <s v="Transport"/>
    <s v="Legal"/>
    <x v="12"/>
    <x v="235"/>
    <n v="579.64599999999996"/>
    <s v="Romain"/>
    <s v="RM-M-R8"/>
    <s v="PALF"/>
    <x v="1"/>
    <s v="Congo"/>
    <x v="0"/>
    <x v="0"/>
    <m/>
  </r>
  <r>
    <x v="77"/>
    <s v="Cumul frais de transport local du mois de Mars 2025/Romain "/>
    <s v="Transport"/>
    <s v="Legal"/>
    <x v="181"/>
    <x v="315"/>
    <n v="579.64599999999996"/>
    <s v="Romain"/>
    <s v="RM-M-D4"/>
    <s v="PALF"/>
    <x v="1"/>
    <s v="Congo"/>
    <x v="0"/>
    <x v="0"/>
    <m/>
  </r>
  <r>
    <x v="78"/>
    <s v="Cumul frais de transport local du mois de Mars 2025/DOVI"/>
    <s v="Transport"/>
    <s v="Management"/>
    <x v="182"/>
    <x v="316"/>
    <n v="579.64599999999996"/>
    <s v="DOVI"/>
    <s v="DH-M-D1"/>
    <s v="PALF"/>
    <x v="1"/>
    <s v="Congo"/>
    <x v="0"/>
    <x v="0"/>
    <m/>
  </r>
  <r>
    <x v="78"/>
    <s v="Cumul frais de transfert local du mois de Mars 2025/Parfaite"/>
    <s v="Transport"/>
    <s v="Office"/>
    <x v="131"/>
    <x v="305"/>
    <n v="579.64599999999996"/>
    <s v="Parfaite"/>
    <s v="P-M-D1"/>
    <s v="PALF"/>
    <x v="1"/>
    <s v="Congo"/>
    <x v="0"/>
    <x v="0"/>
    <m/>
  </r>
  <r>
    <x v="78"/>
    <s v="Reglement facture internet periode du 01/04 au 30/04/2025 bureau PALF"/>
    <s v="Internet"/>
    <s v="Office"/>
    <x v="87"/>
    <x v="317"/>
    <n v="579.64599999999996"/>
    <s v="Parfaite"/>
    <s v="CA-M-R54"/>
    <s v="PALF"/>
    <x v="1"/>
    <s v="Congo"/>
    <x v="0"/>
    <x v="0"/>
    <m/>
  </r>
  <r>
    <x v="78"/>
    <s v="Cumul frais de trust building du mois de Mars 2025/IT87"/>
    <s v="Trust Building"/>
    <s v="Investigations"/>
    <x v="183"/>
    <x v="318"/>
    <n v="579.64599999999996"/>
    <s v="IT87"/>
    <s v="IT87-M-D3"/>
    <s v="PALF"/>
    <x v="1"/>
    <s v="Congo"/>
    <x v="0"/>
    <x v="0"/>
    <m/>
  </r>
  <r>
    <x v="78"/>
    <s v="Cumul frais de transport local du mois de Mars 2025/IT87"/>
    <s v="Transport"/>
    <s v="Investigations"/>
    <x v="184"/>
    <x v="319"/>
    <n v="579.64599999999996"/>
    <s v="IT87"/>
    <s v="IT87-M-D4"/>
    <s v="PALF"/>
    <x v="1"/>
    <s v="Congo"/>
    <x v="0"/>
    <x v="0"/>
    <m/>
  </r>
  <r>
    <x v="78"/>
    <s v="Cumul transport local du mois de Mars 2025/G12"/>
    <s v="Transport"/>
    <s v="Investigations"/>
    <x v="185"/>
    <x v="320"/>
    <n v="579.64599999999996"/>
    <s v="G12"/>
    <s v="G12-M-D3"/>
    <s v="PALF"/>
    <x v="1"/>
    <s v="Congo"/>
    <x v="0"/>
    <x v="0"/>
    <m/>
  </r>
  <r>
    <x v="78"/>
    <s v="Cumul frais de transport local du mois de Mars 2025/Roderlin "/>
    <s v="Transport"/>
    <s v="Legal"/>
    <x v="186"/>
    <x v="321"/>
    <n v="579.64599999999996"/>
    <s v="Roderlin"/>
    <s v="RO-M-D2"/>
    <s v="PALF"/>
    <x v="1"/>
    <s v="Congo"/>
    <x v="0"/>
    <x v="0"/>
    <m/>
  </r>
  <r>
    <x v="78"/>
    <s v="Frais de transfert d'argent à Crepin, Me Alain et Donald-Romeo"/>
    <s v="Transfer Fees"/>
    <s v="Office"/>
    <x v="187"/>
    <x v="322"/>
    <n v="579.64599999999996"/>
    <s v="Roderlin"/>
    <s v="CA-M-R55"/>
    <s v="PALF"/>
    <x v="1"/>
    <s v="Congo"/>
    <x v="0"/>
    <x v="0"/>
    <m/>
  </r>
  <r>
    <x v="78"/>
    <s v="Cumul frais de transport local du mois de Mars 2025/Donald-Romeo"/>
    <s v="Transport"/>
    <s v="Legal"/>
    <x v="188"/>
    <x v="323"/>
    <n v="579.64599999999996"/>
    <s v="Donald-Romeo"/>
    <s v="DR-M-D3"/>
    <s v="PALF"/>
    <x v="1"/>
    <s v="Congo"/>
    <x v="0"/>
    <x v="0"/>
    <m/>
  </r>
  <r>
    <x v="78"/>
    <s v="Reglement honoraire du mois de Mars 2025/T73/3654829"/>
    <s v="Personnel"/>
    <s v="Investigations"/>
    <x v="89"/>
    <x v="324"/>
    <n v="579.64599999999996"/>
    <s v="BCI"/>
    <s v="BQ-M-R35"/>
    <s v="PALF"/>
    <x v="1"/>
    <s v="Congo"/>
    <x v="0"/>
    <x v="0"/>
    <m/>
  </r>
  <r>
    <x v="78"/>
    <s v="Reglement honoraire du mois de Mars 2025/IT87/3654827"/>
    <s v="Personnel"/>
    <s v="Investigations"/>
    <x v="89"/>
    <x v="324"/>
    <n v="579.64599999999996"/>
    <s v="BCI"/>
    <s v="BQ-M-R36"/>
    <s v="PALF"/>
    <x v="1"/>
    <s v="Congo"/>
    <x v="0"/>
    <x v="0"/>
    <m/>
  </r>
  <r>
    <x v="79"/>
    <s v="Paiement  frais d'inscription et mensuel de la formation en informatique"/>
    <s v="Training"/>
    <s v="Team Building"/>
    <x v="189"/>
    <x v="325"/>
    <n v="579.64599999999996"/>
    <s v="G12"/>
    <s v="G12-A-R1"/>
    <s v="PALF"/>
    <x v="1"/>
    <s v="Congo"/>
    <x v="0"/>
    <x v="0"/>
    <m/>
  </r>
  <r>
    <x v="79"/>
    <s v="Achat billet Brazzaville-Owando/ Roderlin"/>
    <s v="Transport"/>
    <s v="Legal"/>
    <x v="12"/>
    <x v="235"/>
    <n v="579.64599999999996"/>
    <s v="Roderlin"/>
    <s v="RO-A-R1"/>
    <s v="PALF"/>
    <x v="1"/>
    <s v="Congo"/>
    <x v="0"/>
    <x v="0"/>
    <m/>
  </r>
  <r>
    <x v="79"/>
    <s v="Frais de transport mission Maitre Hélene à Owando du 02 au 04/04/2025"/>
    <s v="Transport"/>
    <s v="Legal"/>
    <x v="1"/>
    <x v="269"/>
    <n v="579.64599999999996"/>
    <s v="Roderlin"/>
    <s v="CA-A-R1"/>
    <s v="PALF"/>
    <x v="1"/>
    <s v="Congo"/>
    <x v="0"/>
    <x v="0"/>
    <m/>
  </r>
  <r>
    <x v="79"/>
    <s v="Ration et frais d'hotel mission maitre Hélene à Owando du 02au 04/04/2025"/>
    <s v="Travel Subsistence"/>
    <s v="Legal"/>
    <x v="30"/>
    <x v="270"/>
    <n v="579.64599999999996"/>
    <s v="Roderlin"/>
    <s v="CA-A-R2"/>
    <s v="PALF"/>
    <x v="1"/>
    <s v="Congo"/>
    <x v="0"/>
    <x v="0"/>
    <m/>
  </r>
  <r>
    <x v="79"/>
    <s v="Reglement Facture Gardiennage Mois de Mars 2025/3654828"/>
    <s v="Services"/>
    <s v="Office"/>
    <x v="10"/>
    <x v="326"/>
    <n v="579.64599999999996"/>
    <s v="BCI"/>
    <s v="BQ-A-R16"/>
    <s v="PALF"/>
    <x v="1"/>
    <s v="Congo"/>
    <x v="0"/>
    <x v="0"/>
    <m/>
  </r>
  <r>
    <x v="80"/>
    <s v="Achat credit  teléphonique MTN/PALF/Première partie du mois d'Avril 2025/Investigation"/>
    <s v="Telephone"/>
    <s v="Investigations"/>
    <x v="3"/>
    <x v="327"/>
    <n v="579.64599999999996"/>
    <s v="Parfaite"/>
    <s v="CA-A-R5"/>
    <s v="PALF"/>
    <x v="1"/>
    <s v="Congo"/>
    <x v="0"/>
    <x v="0"/>
    <m/>
  </r>
  <r>
    <x v="80"/>
    <s v="Achat credit  teléphonique MTN/PALF/Première partie du mois d'Avril 2025/Media"/>
    <s v="Telephone"/>
    <s v="Media"/>
    <x v="4"/>
    <x v="239"/>
    <n v="579.64599999999996"/>
    <s v="Parfaite"/>
    <s v="CA-A-R6"/>
    <s v="PALF"/>
    <x v="1"/>
    <s v="Congo"/>
    <x v="0"/>
    <x v="0"/>
    <m/>
  </r>
  <r>
    <x v="80"/>
    <s v="Achat credit  teléphonique Airtel/PALF/Première partie du mois d'Avril 2025/Legal"/>
    <s v="Telephone"/>
    <s v="Legal"/>
    <x v="4"/>
    <x v="239"/>
    <n v="579.64599999999996"/>
    <s v="Parfaite"/>
    <s v="CA-A-R7"/>
    <s v="PALF"/>
    <x v="1"/>
    <s v="Congo"/>
    <x v="0"/>
    <x v="0"/>
    <m/>
  </r>
  <r>
    <x v="80"/>
    <s v="Achat credit  teléphonique Airtel/PALF/Première partie du mois d'Avril 2025/Investigation"/>
    <s v="Telephone"/>
    <s v="Investigations"/>
    <x v="5"/>
    <x v="240"/>
    <n v="579.64599999999996"/>
    <s v="Parfaite"/>
    <s v="CA-A-R8"/>
    <s v="PALF"/>
    <x v="1"/>
    <s v="Congo"/>
    <x v="0"/>
    <x v="0"/>
    <m/>
  </r>
  <r>
    <x v="80"/>
    <s v="Achat credit  teléphonique Airtel/PALF/Première partie du mois d'Avril 2025/Media"/>
    <s v="Telephone"/>
    <s v="Media"/>
    <x v="6"/>
    <x v="328"/>
    <n v="579.64599999999996"/>
    <s v="Parfaite"/>
    <s v="CA-A-R9"/>
    <s v="PALF"/>
    <x v="1"/>
    <s v="Congo"/>
    <x v="0"/>
    <x v="0"/>
    <m/>
  </r>
  <r>
    <x v="80"/>
    <s v="Roderlin-CONGO Ration du 02 au 04/04/2025 à Owando "/>
    <s v="Travel Subsistence"/>
    <s v="Legal"/>
    <x v="0"/>
    <x v="264"/>
    <n v="579.64599999999996"/>
    <s v="Roderlin"/>
    <s v="RO-A-D1"/>
    <s v="PALF"/>
    <x v="1"/>
    <s v="Congo"/>
    <x v="0"/>
    <x v="0"/>
    <m/>
  </r>
  <r>
    <x v="80"/>
    <s v="Achat credit  teléphonique MTN/PALF/Première partie du mois d'Avril 2025/Management"/>
    <s v="Telephone"/>
    <s v="Management"/>
    <x v="92"/>
    <x v="329"/>
    <n v="582.90899999999999"/>
    <s v="Parfaite"/>
    <s v="CA-A-R3"/>
    <s v="PALF"/>
    <x v="5"/>
    <s v="Congo"/>
    <x v="0"/>
    <x v="0"/>
    <m/>
  </r>
  <r>
    <x v="80"/>
    <s v="RAPATRIEME01100NRAO00010782"/>
    <s v="Grant"/>
    <m/>
    <x v="47"/>
    <x v="233"/>
    <n v="582.90859999999998"/>
    <s v="BCI"/>
    <s v="BQ-A-G1"/>
    <s v="PALF"/>
    <x v="5"/>
    <s v="Congo"/>
    <x v="4"/>
    <x v="1"/>
    <m/>
  </r>
  <r>
    <x v="80"/>
    <s v="Achat credit  teléphonique MTN/PALF/Première partie du mois d'Avril 2025/Legal"/>
    <s v="Telephone"/>
    <s v="Legal"/>
    <x v="2"/>
    <x v="330"/>
    <n v="582.90899999999999"/>
    <s v="Parfaite"/>
    <s v="CA-A-R4"/>
    <s v="PALF"/>
    <x v="5"/>
    <s v="Congo"/>
    <x v="0"/>
    <x v="0"/>
    <m/>
  </r>
  <r>
    <x v="81"/>
    <s v="Paiement frais de formation mensuel/formation en anglais"/>
    <s v="Training"/>
    <s v="Team Building"/>
    <x v="30"/>
    <x v="270"/>
    <n v="579.64599999999996"/>
    <s v="T73"/>
    <s v="T73-A-R1"/>
    <s v="PALF"/>
    <x v="3"/>
    <s v="Congo"/>
    <x v="0"/>
    <x v="0"/>
    <m/>
  </r>
  <r>
    <x v="81"/>
    <s v="Achat billet Brazzaville-Madingou/P29"/>
    <s v="Transport"/>
    <s v="Investigations"/>
    <x v="12"/>
    <x v="331"/>
    <n v="582.90899999999999"/>
    <s v="P29"/>
    <s v="P29-A-R1"/>
    <s v="PALF"/>
    <x v="5"/>
    <s v="Congo"/>
    <x v="0"/>
    <x v="0"/>
    <m/>
  </r>
  <r>
    <x v="81"/>
    <s v="Achat billet Brazzaville - Madingou/ IT87"/>
    <s v="Transport"/>
    <s v="Investigations"/>
    <x v="12"/>
    <x v="235"/>
    <n v="579.64599999999996"/>
    <s v="IT87"/>
    <s v="IT87-A-R1"/>
    <s v="PALF"/>
    <x v="3"/>
    <s v="Congo"/>
    <x v="0"/>
    <x v="0"/>
    <m/>
  </r>
  <r>
    <x v="82"/>
    <s v="Achat billet Owando- Brazzaville / Roderlin"/>
    <s v="Transport"/>
    <s v="Legal"/>
    <x v="12"/>
    <x v="235"/>
    <n v="579.64599999999996"/>
    <s v="Roderlin"/>
    <s v="RO-A-R2"/>
    <s v="PALF"/>
    <x v="3"/>
    <s v="Congo"/>
    <x v="0"/>
    <x v="0"/>
    <m/>
  </r>
  <r>
    <x v="82"/>
    <s v="P29 - CONGO Ration  du 04 au 18/04/2025 à Madingou (14Nuitées)"/>
    <s v="Travel Subsistence"/>
    <s v="Investigations"/>
    <x v="166"/>
    <x v="283"/>
    <n v="579.64599999999996"/>
    <s v="P29"/>
    <s v="P29-A-D1"/>
    <s v="PALF"/>
    <x v="3"/>
    <s v="Congo"/>
    <x v="0"/>
    <x v="0"/>
    <m/>
  </r>
  <r>
    <x v="82"/>
    <s v="IT87-CONGO Ration du 04 au 18/04/2025 à Madingou"/>
    <s v="Travel Subsistence"/>
    <s v="Investigations"/>
    <x v="166"/>
    <x v="283"/>
    <n v="579.64599999999996"/>
    <s v="IT87"/>
    <s v="IT87-A-D1"/>
    <s v="PALF"/>
    <x v="3"/>
    <s v="Congo"/>
    <x v="0"/>
    <x v="0"/>
    <m/>
  </r>
  <r>
    <x v="82"/>
    <s v="Roderlin-CONGO frais d'hôtel du 02 au 04/04/2025 à Owando (02 nuitées)"/>
    <s v="Travel Subsistence"/>
    <s v="Legal"/>
    <x v="44"/>
    <x v="237"/>
    <n v="579.64599999999996"/>
    <s v="Roderlin"/>
    <s v="RO-A-R3"/>
    <s v="PALF"/>
    <x v="3"/>
    <s v="Congo"/>
    <x v="0"/>
    <x v="0"/>
    <m/>
  </r>
  <r>
    <x v="82"/>
    <s v="Bonus media portant sur l'interpellation de 2 Présumés trafiquants le 04/04/205 à Dolisie"/>
    <s v="Bonus to media officer"/>
    <s v="Media"/>
    <x v="190"/>
    <x v="332"/>
    <n v="579.64599999999996"/>
    <s v="Evariste"/>
    <s v="CA-A-D1"/>
    <s v="PALF"/>
    <x v="3"/>
    <s v="Congo"/>
    <x v="0"/>
    <x v="0"/>
    <m/>
  </r>
  <r>
    <x v="83"/>
    <s v="Achat billet Dolisie-Brazzaville/ Donald-Roméo"/>
    <s v="Transport "/>
    <s v="Legal"/>
    <x v="4"/>
    <x v="239"/>
    <n v="579.64599999999996"/>
    <s v="Donald-Romeo"/>
    <s v="DR-A-R1"/>
    <s v="PALF"/>
    <x v="3"/>
    <s v="Congo"/>
    <x v="0"/>
    <x v="0"/>
    <m/>
  </r>
  <r>
    <x v="83"/>
    <s v="CREPIN -CONGO Fais l'hôtel du 22/03/ au 05/04/2025 à Dolisie (14 nuitées)"/>
    <s v="Travel Subsistence"/>
    <s v="Legal"/>
    <x v="121"/>
    <x v="333"/>
    <n v="582.90899999999999"/>
    <s v="Crépin"/>
    <s v="CR-A-R1"/>
    <s v="PALF"/>
    <x v="5"/>
    <s v="Congo"/>
    <x v="0"/>
    <x v="0"/>
    <m/>
  </r>
  <r>
    <x v="83"/>
    <s v="Achat billet Dolisie-Brazzaville/Crépin"/>
    <s v="Transport"/>
    <s v="Legal"/>
    <x v="4"/>
    <x v="334"/>
    <n v="582.90899999999999"/>
    <s v="Crépin"/>
    <s v="CR-A-R2"/>
    <s v="PALF"/>
    <x v="5"/>
    <s v="Congo"/>
    <x v="0"/>
    <x v="0"/>
    <m/>
  </r>
  <r>
    <x v="83"/>
    <s v="Cumul frais de trust building du mois d'Avril 2025/IT87"/>
    <s v="Trust Building"/>
    <s v="Investigations"/>
    <x v="119"/>
    <x v="335"/>
    <n v="582.90899999999999"/>
    <s v="IT87"/>
    <s v="IT87-A-D2"/>
    <s v="PALF"/>
    <x v="5"/>
    <s v="Congo"/>
    <x v="0"/>
    <x v="0"/>
    <m/>
  </r>
  <r>
    <x v="83"/>
    <s v="DONALD ROMEO- CONGO Frais d'hôtel  du 17/03/ au 05/04/2025 à Dolisie (19 Nuitées)"/>
    <s v="Travel Subsistence"/>
    <s v="Legal"/>
    <x v="191"/>
    <x v="336"/>
    <n v="582.90899999999999"/>
    <s v="Donald-Romeo"/>
    <s v="DR-A-R2"/>
    <s v="PALF"/>
    <x v="5"/>
    <s v="Congo"/>
    <x v="0"/>
    <x v="0"/>
    <m/>
  </r>
  <r>
    <x v="84"/>
    <s v="Bonus du mois de Mars 2025/Crepin"/>
    <s v="Personnel"/>
    <s v="Legal"/>
    <x v="44"/>
    <x v="337"/>
    <n v="582.90899999999999"/>
    <s v="Parfaite"/>
    <s v="CA-A-D2"/>
    <s v="PALF"/>
    <x v="5"/>
    <s v="Congo"/>
    <x v="0"/>
    <x v="0"/>
    <m/>
  </r>
  <r>
    <x v="84"/>
    <s v="Bonus operation du 22/03/2025 à Dolisie/Crepin"/>
    <s v="Bonus"/>
    <s v="Operations"/>
    <x v="145"/>
    <x v="338"/>
    <n v="582.90899999999999"/>
    <s v="Parfaite"/>
    <s v="CA-A-D3"/>
    <s v="PALF"/>
    <x v="5"/>
    <s v="Congo"/>
    <x v="0"/>
    <x v="0"/>
    <m/>
  </r>
  <r>
    <x v="85"/>
    <s v="Règlement loyer du mois d'Avril 2025/DOVI/Coordinateur PALF"/>
    <s v="Personnel"/>
    <s v="Management"/>
    <x v="85"/>
    <x v="339"/>
    <n v="582.90899999999999"/>
    <s v="DOVI"/>
    <s v="DH-A-R1"/>
    <s v="PALF"/>
    <x v="5"/>
    <s v="Congo"/>
    <x v="0"/>
    <x v="0"/>
    <m/>
  </r>
  <r>
    <x v="85"/>
    <s v="Bonus à un informateur en RDC"/>
    <s v="Trust Building"/>
    <s v="Investigations"/>
    <x v="192"/>
    <x v="340"/>
    <n v="582.90899999999999"/>
    <s v="DOVI"/>
    <s v="CA-A-R10"/>
    <s v="PALF"/>
    <x v="5"/>
    <s v="Congo"/>
    <x v="0"/>
    <x v="0"/>
    <m/>
  </r>
  <r>
    <x v="85"/>
    <s v="Bonus du mois de Mars 2025/Parfaite"/>
    <s v="Personnel"/>
    <s v="Management"/>
    <x v="44"/>
    <x v="337"/>
    <n v="582.90899999999999"/>
    <s v="Parfaite"/>
    <s v="CA-A-D4"/>
    <s v="PALF"/>
    <x v="5"/>
    <s v="Congo"/>
    <x v="0"/>
    <x v="0"/>
    <m/>
  </r>
  <r>
    <x v="85"/>
    <s v="Bonus du mois de Mars 2025/Romain"/>
    <s v="Personnel"/>
    <s v="Legal"/>
    <x v="44"/>
    <x v="337"/>
    <n v="582.90899999999999"/>
    <s v="Parfaite"/>
    <s v="CA-A-D5"/>
    <s v="PALF"/>
    <x v="5"/>
    <s v="Congo"/>
    <x v="0"/>
    <x v="0"/>
    <m/>
  </r>
  <r>
    <x v="85"/>
    <s v="Bonus du mois de Mars 2025/Donal-Roméo"/>
    <s v="Personnel"/>
    <s v="Legal"/>
    <x v="193"/>
    <x v="341"/>
    <n v="582.90899999999999"/>
    <s v="Parfaite"/>
    <s v="CA-A-D6"/>
    <s v="PALF"/>
    <x v="5"/>
    <s v="Congo"/>
    <x v="0"/>
    <x v="0"/>
    <m/>
  </r>
  <r>
    <x v="85"/>
    <s v="Bonus du mois de Mars 2025/Abraham"/>
    <s v="Personnel"/>
    <s v="Legal"/>
    <x v="44"/>
    <x v="337"/>
    <n v="582.90899999999999"/>
    <s v="Parfaite"/>
    <s v="CA-A-D7"/>
    <s v="PALF"/>
    <x v="5"/>
    <s v="Congo"/>
    <x v="0"/>
    <x v="0"/>
    <m/>
  </r>
  <r>
    <x v="85"/>
    <s v="Bonus du mois de Mars 2025/Roderlin"/>
    <s v="Personnel"/>
    <s v="Legal"/>
    <x v="44"/>
    <x v="337"/>
    <n v="582.90899999999999"/>
    <s v="Parfaite"/>
    <s v="CA-A-D8"/>
    <s v="PALF"/>
    <x v="5"/>
    <s v="Congo"/>
    <x v="0"/>
    <x v="0"/>
    <m/>
  </r>
  <r>
    <x v="85"/>
    <s v="Bonus du mois de Mars 2025/Evariste"/>
    <s v="Personnel"/>
    <s v="Media"/>
    <x v="44"/>
    <x v="337"/>
    <n v="582.90899999999999"/>
    <s v="Parfaite"/>
    <s v="CA-A-D9"/>
    <s v="PALF"/>
    <x v="5"/>
    <s v="Congo"/>
    <x v="0"/>
    <x v="0"/>
    <m/>
  </r>
  <r>
    <x v="85"/>
    <s v="Bonus opération du 22/03/2025 à Dolisie/Donald-Roméo"/>
    <s v="Bonus"/>
    <s v="Operations"/>
    <x v="44"/>
    <x v="337"/>
    <n v="582.90899999999999"/>
    <s v="Parfaite"/>
    <s v="CA-A-D10"/>
    <s v="PALF"/>
    <x v="5"/>
    <s v="Congo"/>
    <x v="0"/>
    <x v="0"/>
    <m/>
  </r>
  <r>
    <x v="85"/>
    <s v="Bonus opération du 22/03/2025 à Dolisie/Romain"/>
    <s v="Bonus"/>
    <s v="Operations"/>
    <x v="7"/>
    <x v="342"/>
    <n v="582.90899999999999"/>
    <s v="Parfaite"/>
    <s v="CA-A-D11"/>
    <s v="PALF"/>
    <x v="5"/>
    <s v="Congo"/>
    <x v="0"/>
    <x v="0"/>
    <m/>
  </r>
  <r>
    <x v="85"/>
    <s v="Bonus opération du 22/03/2025 à Dolisie/Abraham"/>
    <s v="Bonus"/>
    <s v="Operations"/>
    <x v="7"/>
    <x v="342"/>
    <n v="582.90899999999999"/>
    <s v="Parfaite"/>
    <s v="CA-A-D12"/>
    <s v="PALF"/>
    <x v="5"/>
    <s v="Congo"/>
    <x v="0"/>
    <x v="0"/>
    <m/>
  </r>
  <r>
    <x v="85"/>
    <s v="Bonus opération du 22/03/2025 à Dolisie/Evariste"/>
    <s v="Bonus"/>
    <s v="Operations"/>
    <x v="7"/>
    <x v="342"/>
    <n v="582.90899999999999"/>
    <s v="Parfaite"/>
    <s v="CA-A-D13"/>
    <s v="PALF"/>
    <x v="5"/>
    <s v="Congo"/>
    <x v="0"/>
    <x v="0"/>
    <m/>
  </r>
  <r>
    <x v="85"/>
    <s v="Achat billet  Brazzaville - Ewo/T73"/>
    <s v="Transport"/>
    <s v="Investigations"/>
    <x v="94"/>
    <x v="343"/>
    <n v="582.90899999999999"/>
    <s v="T73"/>
    <s v="T73-A-R2"/>
    <s v="PALF"/>
    <x v="5"/>
    <s v="Congo"/>
    <x v="0"/>
    <x v="0"/>
    <m/>
  </r>
  <r>
    <x v="85"/>
    <s v="T73-CONGO Ration du 08 au 15/04/2025 à Ewo, Boundji et Oyo (07nuitées)"/>
    <s v="Travel Subsistence"/>
    <s v="Investigations"/>
    <x v="21"/>
    <x v="344"/>
    <n v="582.90899999999999"/>
    <s v="T73"/>
    <s v="T73-A-D1"/>
    <s v="PALF"/>
    <x v="5"/>
    <s v="Congo"/>
    <x v="0"/>
    <x v="0"/>
    <m/>
  </r>
  <r>
    <x v="85"/>
    <s v="Achat billet Brazzaville - Pointe Noire/G12"/>
    <s v="Transport"/>
    <s v="Investigations"/>
    <x v="4"/>
    <x v="334"/>
    <n v="582.90899999999999"/>
    <s v="G12"/>
    <s v="G12-A-R2"/>
    <s v="PALF"/>
    <x v="5"/>
    <s v="Congo"/>
    <x v="0"/>
    <x v="0"/>
    <m/>
  </r>
  <r>
    <x v="85"/>
    <s v="G12-CONGO Ration du 08 au 15/04/2025 à Pointe-Noire, Madingo kayes et Nzassi"/>
    <s v="Travel Subsistence"/>
    <s v="Investigations"/>
    <x v="21"/>
    <x v="344"/>
    <n v="582.90899999999999"/>
    <s v="G12"/>
    <s v="G12-A-D1"/>
    <s v="PALF"/>
    <x v="5"/>
    <s v="Congo"/>
    <x v="0"/>
    <x v="0"/>
    <m/>
  </r>
  <r>
    <x v="85"/>
    <s v="Achat billet Brazzaville-Pointe Noire/Romain"/>
    <s v="Transport"/>
    <s v="Legal"/>
    <x v="45"/>
    <x v="345"/>
    <n v="582.90899999999999"/>
    <s v="Romain"/>
    <s v="RM-A-R1"/>
    <s v="PALF"/>
    <x v="5"/>
    <s v="Congo"/>
    <x v="0"/>
    <x v="0"/>
    <m/>
  </r>
  <r>
    <x v="85"/>
    <s v="Frais de transfert Bonus à un informateur en RDC"/>
    <s v="Transfer Fees"/>
    <s v="Office"/>
    <x v="194"/>
    <x v="346"/>
    <n v="582.90899999999999"/>
    <s v="Roderlin"/>
    <s v="CA-A-R11"/>
    <s v="PALF"/>
    <x v="5"/>
    <s v="Congo"/>
    <x v="0"/>
    <x v="0"/>
    <m/>
  </r>
  <r>
    <x v="85"/>
    <s v="Frais de transfert d'argent à P29 et IT87"/>
    <s v="Transfer Fees"/>
    <s v="Office"/>
    <x v="195"/>
    <x v="347"/>
    <n v="582.90899999999999"/>
    <s v="Roderlin"/>
    <s v="CA-A-R12"/>
    <s v="PALF"/>
    <x v="5"/>
    <s v="Congo"/>
    <x v="0"/>
    <x v="0"/>
    <m/>
  </r>
  <r>
    <x v="85"/>
    <s v="Achat billet Brazzaville- Pointe Noire/ Donald-Roméo"/>
    <s v="Transport "/>
    <s v="Legal"/>
    <x v="45"/>
    <x v="345"/>
    <n v="582.90899999999999"/>
    <s v="Donald-Romeo"/>
    <s v="DR-A-R3"/>
    <s v="PALF"/>
    <x v="5"/>
    <s v="Congo"/>
    <x v="0"/>
    <x v="0"/>
    <m/>
  </r>
  <r>
    <x v="85"/>
    <s v="Paiement Honoraire Me LOCKO/Mois de Mars 2025/3654840"/>
    <s v="Lawyer Fees"/>
    <s v="Legal"/>
    <x v="11"/>
    <x v="348"/>
    <n v="579.64599999999996"/>
    <s v="BCI"/>
    <s v="BQ-A-R1"/>
    <s v="PALF"/>
    <x v="1"/>
    <s v="Congo"/>
    <x v="0"/>
    <x v="0"/>
    <m/>
  </r>
  <r>
    <x v="85"/>
    <s v="Acompte honoraire contrat n°83 Dolisie cas NDOHO et NGOMA/ Maître BANZOUZI Alain/3654850"/>
    <s v="Lawyer Fees"/>
    <s v="Legal"/>
    <x v="58"/>
    <x v="349"/>
    <n v="579.64599999999996"/>
    <s v="BCI"/>
    <s v="BQ-A-R2"/>
    <s v="PALF"/>
    <x v="1"/>
    <s v="Congo"/>
    <x v="0"/>
    <x v="0"/>
    <m/>
  </r>
  <r>
    <x v="86"/>
    <s v="Bonus du mois de Mars 2025/Merveille"/>
    <s v="Personnel"/>
    <s v="Office"/>
    <x v="196"/>
    <x v="350"/>
    <n v="582.90899999999999"/>
    <s v="Parfaite"/>
    <s v="CA-A-D14"/>
    <s v="PALF"/>
    <x v="5"/>
    <s v="Congo"/>
    <x v="0"/>
    <x v="0"/>
    <m/>
  </r>
  <r>
    <x v="86"/>
    <s v="Romain- CONGO  Ration du 09 au 18/04/2025 à Pointe Noire,  Madingou"/>
    <s v="Travel Subsistence"/>
    <s v="Legal"/>
    <x v="35"/>
    <x v="351"/>
    <n v="582.90899999999999"/>
    <s v="Romain"/>
    <s v="RM-A-D1"/>
    <s v="PALF"/>
    <x v="5"/>
    <s v="Congo"/>
    <x v="0"/>
    <x v="0"/>
    <m/>
  </r>
  <r>
    <x v="86"/>
    <s v="Achat eau mineral 16 LITRES/Bureau"/>
    <s v="Office Materials"/>
    <s v="Office"/>
    <x v="7"/>
    <x v="342"/>
    <n v="582.90899999999999"/>
    <s v="Abraham"/>
    <s v="CA-A-R13"/>
    <s v="PALF"/>
    <x v="5"/>
    <s v="Congo"/>
    <x v="0"/>
    <x v="0"/>
    <m/>
  </r>
  <r>
    <x v="86"/>
    <s v="Frais de transport mission Maitre Alain à Sibiti du 10 au 12/04/2025"/>
    <s v="Transport"/>
    <s v="Legal"/>
    <x v="197"/>
    <x v="352"/>
    <n v="582.90899999999999"/>
    <s v="Abraham"/>
    <s v="CA-A-R14"/>
    <s v="PALF"/>
    <x v="5"/>
    <s v="Congo"/>
    <x v="0"/>
    <x v="0"/>
    <m/>
  </r>
  <r>
    <x v="86"/>
    <s v="Ration et frais d'hôtel mission maitre Alain à Sibiti du 10 au 12/04/2025"/>
    <s v="Travel Subsistence"/>
    <s v="Legal"/>
    <x v="30"/>
    <x v="353"/>
    <n v="582.90899999999999"/>
    <s v="Abraham"/>
    <s v="CA-A-R15"/>
    <s v="PALF"/>
    <x v="5"/>
    <s v="Congo"/>
    <x v="0"/>
    <x v="0"/>
    <m/>
  </r>
  <r>
    <x v="86"/>
    <s v="Achat billet Brazzaville-Loudima / Roderlin"/>
    <s v="Transport"/>
    <s v="Legal"/>
    <x v="37"/>
    <x v="354"/>
    <n v="582.90899999999999"/>
    <s v="Roderlin"/>
    <s v="RO-A-R4"/>
    <s v="PALF"/>
    <x v="5"/>
    <s v="Congo"/>
    <x v="0"/>
    <x v="0"/>
    <m/>
  </r>
  <r>
    <x v="86"/>
    <s v="DONALD ROMEO-CONGO Ration  du  09 au 18/04/2025 à Pointe-Noire et Madingou"/>
    <s v="Travel Subsistence"/>
    <s v="Legal"/>
    <x v="35"/>
    <x v="351"/>
    <n v="582.90899999999999"/>
    <s v="Donald-Romeo"/>
    <s v="DR-A-D1"/>
    <s v="PALF"/>
    <x v="5"/>
    <s v="Congo"/>
    <x v="0"/>
    <x v="0"/>
    <m/>
  </r>
  <r>
    <x v="87"/>
    <s v="Achat billet Brazzaville-Madingou/Crépin"/>
    <s v="Transport"/>
    <s v="Legal"/>
    <x v="12"/>
    <x v="331"/>
    <n v="582.90899999999999"/>
    <s v="Crépin"/>
    <s v="CR-A-R3"/>
    <s v="PALF"/>
    <x v="5"/>
    <s v="Congo"/>
    <x v="0"/>
    <x v="0"/>
    <m/>
  </r>
  <r>
    <x v="87"/>
    <s v="Cumul frais de jail visit du mois d'Avril 2025/Romain"/>
    <s v="Jail visit"/>
    <s v="Legal"/>
    <x v="70"/>
    <x v="355"/>
    <n v="582.90899999999999"/>
    <s v="Romain"/>
    <s v="RM-A-D2"/>
    <s v="PALF"/>
    <x v="5"/>
    <s v="Congo"/>
    <x v="0"/>
    <x v="0"/>
    <m/>
  </r>
  <r>
    <x v="87"/>
    <s v="Achat  billet Pointe Noire-Madingou/Romain"/>
    <s v="Transport"/>
    <s v="Legal"/>
    <x v="12"/>
    <x v="331"/>
    <n v="582.90899999999999"/>
    <s v="Romain"/>
    <s v="RM-A-R2"/>
    <s v="PALF"/>
    <x v="5"/>
    <s v="Congo"/>
    <x v="0"/>
    <x v="0"/>
    <m/>
  </r>
  <r>
    <x v="87"/>
    <s v="Achat billet Loudima-Sibiti/ Roderlin"/>
    <s v="Transport"/>
    <s v="Legal"/>
    <x v="101"/>
    <x v="356"/>
    <n v="582.90899999999999"/>
    <s v="Roderlin"/>
    <s v="RO-A-R5"/>
    <s v="PALF"/>
    <x v="5"/>
    <s v="Congo"/>
    <x v="0"/>
    <x v="0"/>
    <m/>
  </r>
  <r>
    <x v="87"/>
    <s v="Roderlin-CONGO Ration du 10 au 18/04/2025 à Sibiti et Madingou "/>
    <s v="Travel Subsistence"/>
    <s v="Legal"/>
    <x v="17"/>
    <x v="357"/>
    <n v="582.90899999999999"/>
    <s v="Roderlin"/>
    <s v="RO-A-D2"/>
    <s v="PALF"/>
    <x v="5"/>
    <s v="Congo"/>
    <x v="0"/>
    <x v="0"/>
    <m/>
  </r>
  <r>
    <x v="87"/>
    <s v="Achat billet Pointe Noire- Madingou/ Donald-Roméo"/>
    <s v="Transport "/>
    <s v="Legal"/>
    <x v="12"/>
    <x v="331"/>
    <n v="582.90899999999999"/>
    <s v="Donald-Romeo"/>
    <s v="DR-A-R4"/>
    <s v="PALF"/>
    <x v="5"/>
    <s v="Congo"/>
    <x v="0"/>
    <x v="0"/>
    <m/>
  </r>
  <r>
    <x v="87"/>
    <s v="Achat billet Brazzaville-Madingou/Evariste"/>
    <s v="Transport"/>
    <s v="Media"/>
    <x v="12"/>
    <x v="331"/>
    <n v="582.90899999999999"/>
    <s v="Evariste"/>
    <s v="EV-A-R1"/>
    <s v="PALF"/>
    <x v="5"/>
    <s v="Congo"/>
    <x v="0"/>
    <x v="0"/>
    <m/>
  </r>
  <r>
    <x v="87"/>
    <s v="Frais de transfert d'argent à P29 et IT87"/>
    <s v="Transfer Fees"/>
    <s v="Office"/>
    <x v="198"/>
    <x v="358"/>
    <n v="582.90899999999999"/>
    <s v="Evariste"/>
    <s v="CA-A-R16"/>
    <s v="PALF"/>
    <x v="5"/>
    <s v="Congo"/>
    <x v="0"/>
    <x v="0"/>
    <m/>
  </r>
  <r>
    <x v="88"/>
    <s v="CREPIN-CONGO Ration du 11 au 18/04/2025 à Madingou"/>
    <s v="Travel Subsistence"/>
    <s v="Legal"/>
    <x v="21"/>
    <x v="344"/>
    <n v="582.90899999999999"/>
    <s v="Crépin"/>
    <s v="CR-A-D1"/>
    <s v="PALF"/>
    <x v="5"/>
    <s v="Congo"/>
    <x v="0"/>
    <x v="0"/>
    <m/>
  </r>
  <r>
    <x v="88"/>
    <s v="Achat credit téléphonique pour P29/Appel trust à l'international"/>
    <s v="Telephone"/>
    <s v="Investigations"/>
    <x v="64"/>
    <x v="359"/>
    <n v="582.90899999999999"/>
    <s v="Parfaite"/>
    <s v="CA-A-R18"/>
    <s v="PALF"/>
    <x v="5"/>
    <s v="Congo"/>
    <x v="0"/>
    <x v="0"/>
    <m/>
  </r>
  <r>
    <x v="88"/>
    <s v="T73 - CONGO Frais d'hotel du 08 au 11/04/2025 à Ewo (03nuitées) "/>
    <s v="Travel Subsistence"/>
    <s v="Investigations"/>
    <x v="22"/>
    <x v="360"/>
    <n v="582.90899999999999"/>
    <s v="T73"/>
    <s v="T73-A-R3"/>
    <s v="PALF"/>
    <x v="5"/>
    <s v="Congo"/>
    <x v="0"/>
    <x v="0"/>
    <m/>
  </r>
  <r>
    <x v="88"/>
    <s v="Achat billet  Ewo - Oyo/T73"/>
    <s v="Transport"/>
    <s v="Investigations"/>
    <x v="37"/>
    <x v="354"/>
    <n v="582.90899999999999"/>
    <s v="T73"/>
    <s v="T73-A-R4"/>
    <s v="PALF"/>
    <x v="5"/>
    <s v="Congo"/>
    <x v="0"/>
    <x v="0"/>
    <m/>
  </r>
  <r>
    <x v="88"/>
    <s v="G12-CONGO Frais d'hotel du 08 au 11/04/2025 à Pointe Noire (03 Nuitées)"/>
    <s v="Travel Subsistence"/>
    <s v="Investigations"/>
    <x v="22"/>
    <x v="360"/>
    <n v="582.90899999999999"/>
    <s v="G12"/>
    <s v="G12-A-R3"/>
    <s v="PALF"/>
    <x v="5"/>
    <s v="Congo"/>
    <x v="0"/>
    <x v="0"/>
    <m/>
  </r>
  <r>
    <x v="88"/>
    <s v="Achat billet  Pointe Noire - Madingo kayes/G12"/>
    <s v="Transport"/>
    <s v="Investigations"/>
    <x v="31"/>
    <x v="361"/>
    <n v="582.90899999999999"/>
    <s v="G12"/>
    <s v="G12-A-R4"/>
    <s v="PALF"/>
    <x v="5"/>
    <s v="Congo"/>
    <x v="0"/>
    <x v="0"/>
    <m/>
  </r>
  <r>
    <x v="88"/>
    <s v="Romain-CONGO Frais  d'Hôtel du 09 au 11/04/2025 à Pointe-Noire (02 nuitées)"/>
    <s v="Travel Subsistence"/>
    <s v="Legal"/>
    <x v="44"/>
    <x v="337"/>
    <n v="582.90899999999999"/>
    <s v="Romain"/>
    <s v="RM-A-R3"/>
    <s v="PALF"/>
    <x v="5"/>
    <s v="Congo"/>
    <x v="0"/>
    <x v="0"/>
    <m/>
  </r>
  <r>
    <x v="88"/>
    <s v="Frais de transfert d'argent à Romain, Donald, Roderlin,  P29 et IT87"/>
    <s v="Transfer Fees"/>
    <s v="Office"/>
    <x v="199"/>
    <x v="362"/>
    <n v="582.90899999999999"/>
    <s v="Abraham"/>
    <s v="CA-A-R17"/>
    <s v="PALF"/>
    <x v="5"/>
    <s v="Congo"/>
    <x v="0"/>
    <x v="0"/>
    <m/>
  </r>
  <r>
    <x v="88"/>
    <s v="Cumul frais de jail visit du mois d'Avril 2025/Roderlin"/>
    <s v="Jail visit"/>
    <s v="Legal"/>
    <x v="63"/>
    <x v="363"/>
    <n v="582.90899999999999"/>
    <s v="Roderlin"/>
    <s v="RO-A-D3"/>
    <s v="PALF"/>
    <x v="5"/>
    <s v="Congo"/>
    <x v="0"/>
    <x v="0"/>
    <m/>
  </r>
  <r>
    <x v="88"/>
    <s v="DONALD ROMEO-CONGO Frais d'hôtel du 09 au 11/04/2025 à Pointe-Noire (02 Nuitées)"/>
    <s v="Travel Subsistence"/>
    <s v="Legal"/>
    <x v="44"/>
    <x v="337"/>
    <n v="582.90899999999999"/>
    <s v="Donald-Romeo"/>
    <s v="DR-A-R5"/>
    <s v="PALF"/>
    <x v="5"/>
    <s v="Congo"/>
    <x v="0"/>
    <x v="0"/>
    <m/>
  </r>
  <r>
    <x v="88"/>
    <s v="Evariste-CONGO Ration du 11 au 18 Avril 2025 à Madingou"/>
    <s v="Travel Subsistence"/>
    <s v="Media"/>
    <x v="21"/>
    <x v="344"/>
    <n v="582.90899999999999"/>
    <s v="Evariste"/>
    <s v="EV-A-D1"/>
    <s v="PALF"/>
    <x v="5"/>
    <s v="Congo"/>
    <x v="0"/>
    <x v="0"/>
    <m/>
  </r>
  <r>
    <x v="89"/>
    <s v="Roderlin-CONGO frais d'hôtel du 10 au 12/04/2025 à Sibiti (02 nuitées)"/>
    <s v="Travel Subsistence"/>
    <s v="Legal"/>
    <x v="44"/>
    <x v="337"/>
    <n v="582.90899999999999"/>
    <s v="Roderlin"/>
    <s v="RO-A-R6"/>
    <s v="PALF"/>
    <x v="5"/>
    <s v="Congo"/>
    <x v="0"/>
    <x v="0"/>
    <m/>
  </r>
  <r>
    <x v="89"/>
    <s v="Achat billet Sibiti-Nkayi/ Roderlin"/>
    <s v="Transport"/>
    <s v="Legal"/>
    <x v="31"/>
    <x v="361"/>
    <n v="582.90899999999999"/>
    <s v="Roderlin"/>
    <s v="RO-A-R7"/>
    <s v="PALF"/>
    <x v="5"/>
    <s v="Congo"/>
    <x v="0"/>
    <x v="0"/>
    <m/>
  </r>
  <r>
    <x v="89"/>
    <s v="Achat billet Nkayi-Madingou/Roderlin"/>
    <s v="Transport"/>
    <s v="Legal"/>
    <x v="70"/>
    <x v="355"/>
    <n v="582.90899999999999"/>
    <s v="Roderlin"/>
    <s v="RO-A-R8"/>
    <s v="PALF"/>
    <x v="5"/>
    <s v="Congo"/>
    <x v="0"/>
    <x v="0"/>
    <m/>
  </r>
  <r>
    <x v="90"/>
    <s v="CREPIN-CONGO Frais l'hôtel  du 11 au 13/04/2025 à Madingou(02 Nuitées)"/>
    <s v="Travel Subsistence"/>
    <s v="Legal"/>
    <x v="44"/>
    <x v="337"/>
    <n v="582.90899999999999"/>
    <s v="Crépin"/>
    <s v="CR-A-R4"/>
    <s v="PALF"/>
    <x v="5"/>
    <s v="Congo"/>
    <x v="0"/>
    <x v="0"/>
    <m/>
  </r>
  <r>
    <x v="90"/>
    <s v="P29 -CONGO Frais d'hotel du 04 au 13/04/2025 à Madingou (09 Nuitées)"/>
    <s v="Travel Subsistence"/>
    <s v="Investigations"/>
    <x v="137"/>
    <x v="364"/>
    <n v="582.90899999999999"/>
    <s v="P29"/>
    <s v="P29-A-R2"/>
    <s v="PALF"/>
    <x v="5"/>
    <s v="Congo"/>
    <x v="0"/>
    <x v="0"/>
    <m/>
  </r>
  <r>
    <x v="90"/>
    <s v="T73 - CONGO Frais d'hotel du 11 au 13/04/20225 à Oyo (02 nuitées) "/>
    <s v="Travel Subsistence"/>
    <s v="Investigations"/>
    <x v="44"/>
    <x v="337"/>
    <n v="582.90899999999999"/>
    <s v="T73"/>
    <s v="T73-A-R5"/>
    <s v="PALF"/>
    <x v="5"/>
    <s v="Congo"/>
    <x v="0"/>
    <x v="0"/>
    <m/>
  </r>
  <r>
    <x v="90"/>
    <s v="Achat billet  Oyo - Boundji /T73"/>
    <s v="Transport"/>
    <s v="Investigations"/>
    <x v="31"/>
    <x v="361"/>
    <n v="582.90899999999999"/>
    <s v="T73"/>
    <s v="T73-A-R6"/>
    <s v="PALF"/>
    <x v="5"/>
    <s v="Congo"/>
    <x v="0"/>
    <x v="0"/>
    <m/>
  </r>
  <r>
    <x v="90"/>
    <s v="G12-CONGO frais d'hotel du 11 au 13 /04/2025 à Madingo kayes (02 Nuitées) "/>
    <s v="Travel Subsistence"/>
    <s v="Investigations"/>
    <x v="44"/>
    <x v="337"/>
    <n v="582.90899999999999"/>
    <s v="G12"/>
    <s v="G12-A-R5"/>
    <s v="PALF"/>
    <x v="5"/>
    <s v="Congo"/>
    <x v="0"/>
    <x v="0"/>
    <m/>
  </r>
  <r>
    <x v="90"/>
    <s v="Achat billet  Madingo kayes - Nzassi/G12"/>
    <s v="Transport"/>
    <s v="Investigations"/>
    <x v="37"/>
    <x v="354"/>
    <n v="582.90899999999999"/>
    <s v="G12"/>
    <s v="G12-A-R6"/>
    <s v="PALF"/>
    <x v="5"/>
    <s v="Congo"/>
    <x v="0"/>
    <x v="0"/>
    <m/>
  </r>
  <r>
    <x v="91"/>
    <s v="G12-CONGO Frais d'hotel du 13 au 14 /04 /2025  à nzassi (01 Nuitée) "/>
    <s v="Travel Subsistence"/>
    <s v="Investigations"/>
    <x v="64"/>
    <x v="359"/>
    <n v="582.90899999999999"/>
    <s v="G12"/>
    <s v="G12-A-R7"/>
    <s v="PALF"/>
    <x v="5"/>
    <s v="Congo"/>
    <x v="0"/>
    <x v="0"/>
    <m/>
  </r>
  <r>
    <x v="91"/>
    <s v="Achat billet  Nzassi - Pointe Noire/G12"/>
    <s v="Transport"/>
    <s v="Investigations"/>
    <x v="67"/>
    <x v="365"/>
    <n v="582.90899999999999"/>
    <s v="G12"/>
    <s v="G12-A-R8"/>
    <s v="PALF"/>
    <x v="5"/>
    <s v="Congo"/>
    <x v="0"/>
    <x v="0"/>
    <m/>
  </r>
  <r>
    <x v="91"/>
    <s v="Achat billet Pointe Noire - Brazzaville "/>
    <s v="Transport"/>
    <s v="Investigations"/>
    <x v="4"/>
    <x v="334"/>
    <n v="582.90899999999999"/>
    <s v="G12"/>
    <s v="G12-A-R9"/>
    <s v="PALF"/>
    <x v="5"/>
    <s v="Congo"/>
    <x v="0"/>
    <x v="0"/>
    <m/>
  </r>
  <r>
    <x v="91"/>
    <s v="Achat billet Brazzaville-Owando/Abraham"/>
    <s v="Transport"/>
    <s v="Legal"/>
    <x v="12"/>
    <x v="331"/>
    <n v="582.90899999999999"/>
    <s v="Abraham"/>
    <s v="AB-A-R1"/>
    <s v="PALF"/>
    <x v="5"/>
    <s v="Congo"/>
    <x v="0"/>
    <x v="0"/>
    <m/>
  </r>
  <r>
    <x v="91"/>
    <s v="Frais de transfert d'argent à Crépin, Evarste,  P29 et IT87"/>
    <s v="Transfer Fees"/>
    <s v="Office"/>
    <x v="200"/>
    <x v="366"/>
    <n v="582.90899999999999"/>
    <s v="Abraham"/>
    <s v="CA-A-R19"/>
    <s v="PALF"/>
    <x v="5"/>
    <s v="Congo"/>
    <x v="0"/>
    <x v="0"/>
    <m/>
  </r>
  <r>
    <x v="91"/>
    <s v="Frais de transport mission Maitre Alain à Owando du 16 au 18/04/2025"/>
    <s v="Transport"/>
    <s v="Legal"/>
    <x v="0"/>
    <x v="367"/>
    <n v="582.90899999999999"/>
    <s v="Abraham"/>
    <s v="CA-A-R20"/>
    <s v="PALF"/>
    <x v="5"/>
    <s v="Congo"/>
    <x v="0"/>
    <x v="0"/>
    <m/>
  </r>
  <r>
    <x v="91"/>
    <s v="Ration et frais d'hotel mission maitre Alain à Owando du 16 au 18/04/2025"/>
    <s v="Travel Subsistence"/>
    <s v="Legal"/>
    <x v="30"/>
    <x v="353"/>
    <n v="582.90899999999999"/>
    <s v="Abraham"/>
    <s v="CA-A-R21"/>
    <s v="PALF"/>
    <x v="5"/>
    <s v="Congo"/>
    <x v="0"/>
    <x v="0"/>
    <m/>
  </r>
  <r>
    <x v="91"/>
    <s v="Frais de transport mission Maitre Hélene à Owando du 16 au 18/04/2025"/>
    <s v="Transport"/>
    <s v="Legal"/>
    <x v="0"/>
    <x v="367"/>
    <n v="582.90899999999999"/>
    <s v="Abraham"/>
    <s v="CA-A-R22"/>
    <s v="PALF"/>
    <x v="5"/>
    <s v="Congo"/>
    <x v="0"/>
    <x v="0"/>
    <m/>
  </r>
  <r>
    <x v="91"/>
    <s v="Ration et frais d'hotel mission maitre Hélene à Owando du 16 au 18/04/2025"/>
    <s v="Travel Subsistence"/>
    <s v="Legal"/>
    <x v="30"/>
    <x v="353"/>
    <n v="582.90899999999999"/>
    <s v="Abraham"/>
    <s v="CA-A-R23"/>
    <s v="PALF"/>
    <x v="5"/>
    <s v="Congo"/>
    <x v="0"/>
    <x v="0"/>
    <m/>
  </r>
  <r>
    <x v="91"/>
    <s v="Paiement CNSS premier trimestre/Janvier,Février et Mars 2025/Crepin /3654848"/>
    <s v="Personnel"/>
    <s v="Legal"/>
    <x v="201"/>
    <x v="368"/>
    <n v="582.90899999999999"/>
    <s v="BCI"/>
    <s v="BQ-A-R3"/>
    <s v="PALF"/>
    <x v="5"/>
    <s v="Congo"/>
    <x v="0"/>
    <x v="0"/>
    <m/>
  </r>
  <r>
    <x v="91"/>
    <s v="Paiement CNSS premier trimestre/Janvier,Février et Mars 2025/Donald-Roméo/3654848"/>
    <s v="Personnel"/>
    <s v="Legal"/>
    <x v="202"/>
    <x v="369"/>
    <n v="582.90899999999999"/>
    <s v="BCI"/>
    <s v="BQ-A-R4"/>
    <s v="PALF"/>
    <x v="5"/>
    <s v="Congo"/>
    <x v="0"/>
    <x v="0"/>
    <m/>
  </r>
  <r>
    <x v="91"/>
    <s v="Paiement CNSS premier trimestre/Janvier,Février et Mars 2025/Romain/3654848"/>
    <s v="Personnel"/>
    <s v="Legal"/>
    <x v="203"/>
    <x v="370"/>
    <n v="582.90899999999999"/>
    <s v="BCI"/>
    <s v="BQ-A-R5"/>
    <s v="PALF"/>
    <x v="5"/>
    <s v="Congo"/>
    <x v="0"/>
    <x v="0"/>
    <m/>
  </r>
  <r>
    <x v="91"/>
    <s v="Paiement CNSS premier trimestre/Janvier,Février et Mars 2025/Roderlin/3654848"/>
    <s v="Personnel"/>
    <s v="Legal"/>
    <x v="203"/>
    <x v="370"/>
    <n v="582.90899999999999"/>
    <s v="BCI"/>
    <s v="BQ-A-R6"/>
    <s v="PALF"/>
    <x v="5"/>
    <s v="Congo"/>
    <x v="0"/>
    <x v="0"/>
    <m/>
  </r>
  <r>
    <x v="91"/>
    <s v="Paiement CNSS premier trimestre/Janvier,Février et Mars 2025/Abraham/3654848"/>
    <s v="Personnel"/>
    <s v="Legal"/>
    <x v="203"/>
    <x v="370"/>
    <n v="582.90899999999999"/>
    <s v="BCI"/>
    <s v="BQ-A-R7"/>
    <s v="PALF"/>
    <x v="5"/>
    <s v="Congo"/>
    <x v="0"/>
    <x v="0"/>
    <m/>
  </r>
  <r>
    <x v="91"/>
    <s v="Paiement CNSS premier trimestre/Janvier,Février et Mars 2025/Parfaite/3654848"/>
    <s v="Personnel"/>
    <s v="Office"/>
    <x v="204"/>
    <x v="371"/>
    <n v="582.90899999999999"/>
    <s v="BCI"/>
    <s v="BQ-A-R8"/>
    <s v="PALF"/>
    <x v="5"/>
    <s v="Congo"/>
    <x v="0"/>
    <x v="0"/>
    <m/>
  </r>
  <r>
    <x v="91"/>
    <s v="Paiement CNSS premier trimestre/Janvier,Février et Mars 2025/Merveille/3654848"/>
    <s v="Personnel"/>
    <s v="Office"/>
    <x v="205"/>
    <x v="372"/>
    <n v="582.90899999999999"/>
    <s v="BCI"/>
    <s v="BQ-A-R9"/>
    <s v="PALF"/>
    <x v="5"/>
    <s v="Congo"/>
    <x v="0"/>
    <x v="0"/>
    <m/>
  </r>
  <r>
    <x v="91"/>
    <s v="Paiement CNSS premier trimestre/Janvier,Février et Mars 2025/Evariste/3654848"/>
    <s v="Personnel"/>
    <s v="Media"/>
    <x v="206"/>
    <x v="373"/>
    <n v="582.90899999999999"/>
    <s v="BCI"/>
    <s v="BQ-A-R10"/>
    <s v="PALF"/>
    <x v="5"/>
    <s v="Congo"/>
    <x v="0"/>
    <x v="0"/>
    <m/>
  </r>
  <r>
    <x v="92"/>
    <s v="Frais de nettoyage caniveau bureau PALF"/>
    <s v="Services"/>
    <s v="Office"/>
    <x v="6"/>
    <x v="374"/>
    <n v="582.90899999999999"/>
    <s v="DOVI"/>
    <s v="CA-A-D15"/>
    <s v="PALF"/>
    <x v="5"/>
    <s v="Congo"/>
    <x v="0"/>
    <x v="0"/>
    <m/>
  </r>
  <r>
    <x v="92"/>
    <s v="Règlement facture d'eau du mois de Janv, Fév, Mars, Avril  2025 bureau PALF"/>
    <s v="Rent &amp; Utilities"/>
    <s v="Office"/>
    <x v="84"/>
    <x v="375"/>
    <n v="582.90899999999999"/>
    <s v="Parfaite"/>
    <s v="CA-A-R24"/>
    <s v="PALF"/>
    <x v="5"/>
    <s v="Congo"/>
    <x v="0"/>
    <x v="0"/>
    <m/>
  </r>
  <r>
    <x v="92"/>
    <s v="Frais de transfert d'argent à P29 et IT87"/>
    <s v="Transfer Fees"/>
    <s v="Office"/>
    <x v="207"/>
    <x v="376"/>
    <n v="582.90899999999999"/>
    <s v="Parfaite"/>
    <s v="CA-A-R25"/>
    <s v="PALF"/>
    <x v="5"/>
    <s v="Congo"/>
    <x v="0"/>
    <x v="0"/>
    <m/>
  </r>
  <r>
    <x v="92"/>
    <s v="Achat credit  teléphonique MTN/PALF/Deuxième partie du mois d'Avril2025/Management"/>
    <s v="Telephone"/>
    <s v="Management"/>
    <x v="0"/>
    <x v="367"/>
    <n v="582.90899999999999"/>
    <s v="Parfaite"/>
    <s v="CA-A-R26"/>
    <s v="PALF"/>
    <x v="5"/>
    <s v="Congo"/>
    <x v="0"/>
    <x v="0"/>
    <m/>
  </r>
  <r>
    <x v="92"/>
    <s v="Achat credit  teléphonique MTN/PALF/Deuxième partie du mois d'Avril 2025/Legal"/>
    <s v="Telephone"/>
    <s v="Legal"/>
    <x v="145"/>
    <x v="338"/>
    <n v="582.90899999999999"/>
    <s v="Parfaite"/>
    <s v="CA-A-R27"/>
    <s v="PALF"/>
    <x v="5"/>
    <s v="Congo"/>
    <x v="0"/>
    <x v="0"/>
    <m/>
  </r>
  <r>
    <x v="92"/>
    <s v="Achat credit  teléphonique MTN/PALF/Deuxième partie du mois d'Avril 2025/Investigation"/>
    <s v="Telephone"/>
    <s v="Investigations"/>
    <x v="111"/>
    <x v="377"/>
    <n v="582.90899999999999"/>
    <s v="Parfaite"/>
    <s v="CA-A-R28"/>
    <s v="PALF"/>
    <x v="5"/>
    <s v="Congo"/>
    <x v="0"/>
    <x v="0"/>
    <m/>
  </r>
  <r>
    <x v="92"/>
    <s v="Achat credit  teléphonique MTN/PALF/deuxième partie du mois d'Avril 2025/Media"/>
    <s v="Telephone"/>
    <s v="Media"/>
    <x v="4"/>
    <x v="334"/>
    <n v="582.90899999999999"/>
    <s v="Parfaite"/>
    <s v="CA-A-R29"/>
    <s v="PALF"/>
    <x v="5"/>
    <s v="Congo"/>
    <x v="0"/>
    <x v="0"/>
    <m/>
  </r>
  <r>
    <x v="92"/>
    <s v="Achat credit  teléphonique Airtel/PALF/Deuxième partie du mois d'Avril 2025/Legal"/>
    <s v="Telephone"/>
    <s v="Legal"/>
    <x v="4"/>
    <x v="334"/>
    <n v="582.90899999999999"/>
    <s v="Parfaite"/>
    <s v="CA-A-R30"/>
    <s v="PALF"/>
    <x v="5"/>
    <s v="Congo"/>
    <x v="0"/>
    <x v="0"/>
    <m/>
  </r>
  <r>
    <x v="92"/>
    <s v="Achat credit  teléphonique Airtel/PALF/Deuxième partie du mois d'Avril 2025/Investigation"/>
    <s v="Telephone"/>
    <s v="Investigations"/>
    <x v="31"/>
    <x v="361"/>
    <n v="582.90899999999999"/>
    <s v="Parfaite"/>
    <s v="CA-A-R31"/>
    <s v="PALF"/>
    <x v="5"/>
    <s v="Congo"/>
    <x v="0"/>
    <x v="0"/>
    <m/>
  </r>
  <r>
    <x v="92"/>
    <s v="T73 - CONGO Frais d'hotel du 13 au 15/04/20225 à Boundji (02 nuitées) "/>
    <s v="Travel Subsistence"/>
    <s v="Investigations"/>
    <x v="44"/>
    <x v="337"/>
    <n v="582.90899999999999"/>
    <s v="T73"/>
    <s v="T73-A-R7"/>
    <s v="PALF"/>
    <x v="5"/>
    <s v="Congo"/>
    <x v="0"/>
    <x v="0"/>
    <m/>
  </r>
  <r>
    <x v="92"/>
    <s v="Achat billet  Boundji - Brazzaville/T73"/>
    <s v="Transport"/>
    <s v="Investigations"/>
    <x v="45"/>
    <x v="345"/>
    <n v="582.90899999999999"/>
    <s v="T73"/>
    <s v="T73-A-R8"/>
    <s v="PALF"/>
    <x v="5"/>
    <s v="Congo"/>
    <x v="0"/>
    <x v="0"/>
    <m/>
  </r>
  <r>
    <x v="92"/>
    <s v="G12-CONGO Frais d'hotel du 14 au 15/04/2025 à Pointe Noire (01 Nuitée)"/>
    <s v="Travel Subsistence"/>
    <s v="Investigations"/>
    <x v="64"/>
    <x v="359"/>
    <n v="582.90899999999999"/>
    <s v="G12"/>
    <s v="G12-A-R10"/>
    <s v="PALF"/>
    <x v="5"/>
    <s v="Congo"/>
    <x v="0"/>
    <x v="0"/>
    <m/>
  </r>
  <r>
    <x v="93"/>
    <s v="ABRAHAM - CONGO Ration du 16 au 18/04/2025 à Owando (02 Nuitées) "/>
    <s v="Travel Subsistence"/>
    <s v="Legal"/>
    <x v="0"/>
    <x v="367"/>
    <n v="582.90899999999999"/>
    <s v="Abraham"/>
    <s v="AB-A-D1"/>
    <s v="PALF"/>
    <x v="5"/>
    <s v="Congo"/>
    <x v="0"/>
    <x v="0"/>
    <m/>
  </r>
  <r>
    <x v="94"/>
    <s v="Frais de transfert d'argent à crépin, Evarste,  romain, roderlin et donald-roméo"/>
    <s v="Transfer Fees"/>
    <s v="Office"/>
    <x v="55"/>
    <x v="378"/>
    <n v="582.90899999999999"/>
    <s v="G12"/>
    <s v="CA-A-R32"/>
    <s v="PALF"/>
    <x v="5"/>
    <s v="Congo"/>
    <x v="0"/>
    <x v="0"/>
    <m/>
  </r>
  <r>
    <x v="95"/>
    <s v="Achat billet Madingou-Brazzaville/P29"/>
    <s v="Transport"/>
    <s v="Investigations"/>
    <x v="12"/>
    <x v="331"/>
    <n v="582.90899999999999"/>
    <s v="P29"/>
    <s v="P29-A-R3"/>
    <s v="PALF"/>
    <x v="5"/>
    <s v="Congo"/>
    <x v="0"/>
    <x v="0"/>
    <m/>
  </r>
  <r>
    <x v="95"/>
    <s v="Achat billet Madingou - Brazzaville/ IT87"/>
    <s v="Transport"/>
    <s v="Investigations"/>
    <x v="12"/>
    <x v="331"/>
    <n v="582.90899999999999"/>
    <s v="IT87"/>
    <s v="IT87-A-R2"/>
    <s v="PALF"/>
    <x v="5"/>
    <s v="Congo"/>
    <x v="0"/>
    <x v="0"/>
    <m/>
  </r>
  <r>
    <x v="95"/>
    <s v="Achat billet Madingou-Brazzaville/Romain"/>
    <s v="Transport"/>
    <s v="Legal"/>
    <x v="12"/>
    <x v="331"/>
    <n v="582.90899999999999"/>
    <s v="Romain"/>
    <s v="RM-A-R4"/>
    <s v="PALF"/>
    <x v="5"/>
    <s v="Congo"/>
    <x v="0"/>
    <x v="0"/>
    <m/>
  </r>
  <r>
    <x v="95"/>
    <s v="Achat billet Owando-Brazzaville/Abraham"/>
    <s v="Transport"/>
    <s v="Legal"/>
    <x v="12"/>
    <x v="331"/>
    <n v="582.90899999999999"/>
    <s v="Abraham"/>
    <s v="AB-A-R2"/>
    <s v="PALF"/>
    <x v="5"/>
    <s v="Congo"/>
    <x v="0"/>
    <x v="0"/>
    <m/>
  </r>
  <r>
    <x v="95"/>
    <s v="Achat billet Madingou-Brazzaville/ Roderlin"/>
    <s v="Transport"/>
    <s v="Legal"/>
    <x v="12"/>
    <x v="331"/>
    <n v="582.90899999999999"/>
    <s v="Roderlin"/>
    <s v="RO-A-R9"/>
    <s v="PALF"/>
    <x v="5"/>
    <s v="Congo"/>
    <x v="0"/>
    <x v="0"/>
    <m/>
  </r>
  <r>
    <x v="95"/>
    <s v="Achat billet Madingou-Brazzaville/ Donald-Roméo"/>
    <s v="Transport "/>
    <s v="Legal"/>
    <x v="12"/>
    <x v="331"/>
    <n v="582.90899999999999"/>
    <s v="Donald-Romeo"/>
    <s v="DR-A-R6"/>
    <s v="PALF"/>
    <x v="5"/>
    <s v="Congo"/>
    <x v="0"/>
    <x v="0"/>
    <m/>
  </r>
  <r>
    <x v="95"/>
    <s v="Achat billet Madingou-Brazzaville/Crepin"/>
    <s v="Transport"/>
    <s v="Legal"/>
    <x v="12"/>
    <x v="331"/>
    <n v="582.90899999999999"/>
    <s v="Crépin"/>
    <s v="CR-A-R5"/>
    <s v="PALF"/>
    <x v="5"/>
    <s v="Congo"/>
    <x v="0"/>
    <x v="0"/>
    <m/>
  </r>
  <r>
    <x v="95"/>
    <s v="IT87 - CONGO Frais d'hôtel  du 04 au 18/04/2025 à Madingou (14 nuitées)"/>
    <s v="Travel Subsistence"/>
    <s v="Investigations"/>
    <x v="121"/>
    <x v="333"/>
    <n v="582.90899999999999"/>
    <s v="IT87"/>
    <s v="IT87-A-R3"/>
    <s v="PALF"/>
    <x v="5"/>
    <s v="Congo"/>
    <x v="0"/>
    <x v="0"/>
    <m/>
  </r>
  <r>
    <x v="95"/>
    <s v="Cumul frais de transport local du mois d'Avril 2025/IT87"/>
    <s v="Transport"/>
    <s v="Investigations"/>
    <x v="208"/>
    <x v="379"/>
    <n v="582.90899999999999"/>
    <s v="IT87"/>
    <s v="IT87-A-D3"/>
    <s v="PALF"/>
    <x v="5"/>
    <s v="Congo"/>
    <x v="0"/>
    <x v="0"/>
    <m/>
  </r>
  <r>
    <x v="95"/>
    <s v="Romain- CONGO Frais  d'Hôtel du 11 au 18/04//2025 à Madingou  (07 nuités)"/>
    <s v="Travel Subsistence"/>
    <s v="Legal"/>
    <x v="46"/>
    <x v="380"/>
    <n v="582.90899999999999"/>
    <s v="Romain"/>
    <s v="RM-A-R5"/>
    <s v="PALF"/>
    <x v="5"/>
    <s v="Congo"/>
    <x v="0"/>
    <x v="0"/>
    <m/>
  </r>
  <r>
    <x v="95"/>
    <s v="ABRAHAM - CONGO Frais d'Hôtel du 16 au 17/04/2025 à Owando (02 Nuitées)"/>
    <s v="Travel Subsistence"/>
    <s v="Legal"/>
    <x v="44"/>
    <x v="337"/>
    <n v="582.90899999999999"/>
    <s v="Abraham"/>
    <s v="AB-A-R3"/>
    <s v="PALF"/>
    <x v="5"/>
    <s v="Congo"/>
    <x v="0"/>
    <x v="0"/>
    <m/>
  </r>
  <r>
    <x v="95"/>
    <s v="Roderlin-CONGO frais d'hôtel du 12 au 18/04/2025 à Madingou (06 nuitées)"/>
    <s v="Travel Subsistence"/>
    <s v="Legal"/>
    <x v="35"/>
    <x v="351"/>
    <n v="582.90899999999999"/>
    <s v="Roderlin"/>
    <s v="RO-A-R10"/>
    <s v="PALF"/>
    <x v="5"/>
    <s v="Congo"/>
    <x v="0"/>
    <x v="0"/>
    <m/>
  </r>
  <r>
    <x v="95"/>
    <s v="DONALD ROMEO- CONGO Frais d'hôtel du  11 au 18/04/2025 à Madingou (07 Nuitées)"/>
    <s v="Travel Subsistence"/>
    <s v="Legal"/>
    <x v="46"/>
    <x v="380"/>
    <n v="582.90899999999999"/>
    <s v="Donald-Romeo"/>
    <s v="DR-A-R7"/>
    <s v="PALF"/>
    <x v="5"/>
    <s v="Congo"/>
    <x v="0"/>
    <x v="0"/>
    <m/>
  </r>
  <r>
    <x v="95"/>
    <s v="Achat Billet Madingou-Brazzaville/Evariste"/>
    <s v="Transport"/>
    <s v="Media"/>
    <x v="12"/>
    <x v="331"/>
    <n v="582.90899999999999"/>
    <s v="Evariste"/>
    <s v="EV-A-R2"/>
    <s v="PALF"/>
    <x v="5"/>
    <s v="Congo"/>
    <x v="0"/>
    <x v="0"/>
    <m/>
  </r>
  <r>
    <x v="95"/>
    <s v="Evariste-CONGO Frais de l'hôtel du 11 au 18 Avril 2025 à Madingou ( 7 nuitées)"/>
    <s v="Travel Subsistence"/>
    <s v="Media"/>
    <x v="46"/>
    <x v="380"/>
    <n v="582.90899999999999"/>
    <s v="Evariste"/>
    <s v="EV-A-R3"/>
    <s v="PALF"/>
    <x v="5"/>
    <s v="Congo"/>
    <x v="0"/>
    <x v="0"/>
    <m/>
  </r>
  <r>
    <x v="96"/>
    <s v="P29 -CONGO Frais d'hotel du 13 au 19/04/2025 à Madingou lieu OP1(P29) (06 Nuitées)"/>
    <s v="Travel Subsistence"/>
    <s v="Investigations"/>
    <x v="11"/>
    <x v="348"/>
    <n v="582.90899999999999"/>
    <s v="P29"/>
    <s v="P29-A-R4"/>
    <s v="PALF"/>
    <x v="5"/>
    <s v="Congo"/>
    <x v="0"/>
    <x v="0"/>
    <m/>
  </r>
  <r>
    <x v="96"/>
    <s v="P29 -CONGO Frais d'hotel du 13 au 19/04/2025 à Madingou lieu OP 2(Crépin) (06 Nuitées)"/>
    <s v="Travel Subsistence"/>
    <s v="Investigations"/>
    <x v="11"/>
    <x v="348"/>
    <n v="582.90899999999999"/>
    <s v="P29"/>
    <s v="P29-A-R5"/>
    <s v="PALF"/>
    <x v="5"/>
    <s v="Congo"/>
    <x v="0"/>
    <x v="0"/>
    <m/>
  </r>
  <r>
    <x v="97"/>
    <s v="Déjeûner des agents du PALF"/>
    <s v="Personnel"/>
    <s v="Team Building"/>
    <x v="209"/>
    <x v="381"/>
    <n v="582.90899999999999"/>
    <s v="DOVI"/>
    <s v="CA-A-R33"/>
    <s v="PALF"/>
    <x v="5"/>
    <s v="Congo"/>
    <x v="0"/>
    <x v="0"/>
    <m/>
  </r>
  <r>
    <x v="98"/>
    <s v="Reglement honoraire du mois d'Avril 2025/IT87/3654843"/>
    <s v="Personnel"/>
    <s v="Investigations"/>
    <x v="89"/>
    <x v="382"/>
    <n v="582.90899999999999"/>
    <s v="BCI"/>
    <s v="BQ-A-R11"/>
    <s v="PALF"/>
    <x v="5"/>
    <s v="Congo"/>
    <x v="0"/>
    <x v="0"/>
    <m/>
  </r>
  <r>
    <x v="98"/>
    <s v="Solde  honoraire contrat n°83 Dolisie cas NDOHO et NGOMA/ Maître BANZOUZI Alain/3654845"/>
    <s v="Lawyer Fees"/>
    <s v="Legal"/>
    <x v="8"/>
    <x v="383"/>
    <n v="579.64599999999996"/>
    <s v="BCI"/>
    <s v="BQ-A-R12"/>
    <s v="PALF"/>
    <x v="1"/>
    <s v="Congo"/>
    <x v="0"/>
    <x v="0"/>
    <m/>
  </r>
  <r>
    <x v="98"/>
    <s v="Solde  honoraire contrat n°55 Brazzaville cas / Maître MALONGA Marie Hélène/3654844"/>
    <s v="Transport"/>
    <s v="Legal"/>
    <x v="8"/>
    <x v="383"/>
    <n v="582.90899999999999"/>
    <s v="BCI"/>
    <s v="BQ-A-R13"/>
    <s v="PALF"/>
    <x v="5"/>
    <s v="Congo"/>
    <x v="0"/>
    <x v="0"/>
    <m/>
  </r>
  <r>
    <x v="99"/>
    <s v="Frais de carte de travail Donald-roméo"/>
    <s v="Personnel"/>
    <s v="Office"/>
    <x v="119"/>
    <x v="335"/>
    <n v="582.90899999999999"/>
    <s v="Parfaite"/>
    <s v="CA-A-R36"/>
    <s v="PALF"/>
    <x v="5"/>
    <s v="Congo"/>
    <x v="0"/>
    <x v="0"/>
    <m/>
  </r>
  <r>
    <x v="99"/>
    <s v="Cumul frais de transport local du mois d'Avril 2025/Abraham"/>
    <s v="Transport"/>
    <s v="Legal"/>
    <x v="210"/>
    <x v="384"/>
    <n v="582.90899999999999"/>
    <s v="Abraham"/>
    <s v="AB-A-D2"/>
    <s v="PALF"/>
    <x v="5"/>
    <s v="Congo"/>
    <x v="0"/>
    <x v="0"/>
    <m/>
  </r>
  <r>
    <x v="99"/>
    <s v="Achat carburant groupe electrogène Bureau"/>
    <s v="Office Materials"/>
    <s v="Office"/>
    <x v="211"/>
    <x v="385"/>
    <n v="582.90899999999999"/>
    <s v="Abraham"/>
    <s v="CA-A-R35"/>
    <s v="PALF"/>
    <x v="5"/>
    <s v="Congo"/>
    <x v="0"/>
    <x v="0"/>
    <m/>
  </r>
  <r>
    <x v="99"/>
    <s v="Achat carburant groupe élèctrogène Bureau"/>
    <s v="Office Materials"/>
    <s v="Office"/>
    <x v="211"/>
    <x v="385"/>
    <n v="582.90899999999999"/>
    <s v="Roderlin"/>
    <s v="CA-A-R34"/>
    <s v="PALF"/>
    <x v="5"/>
    <s v="Congo"/>
    <x v="0"/>
    <x v="0"/>
    <m/>
  </r>
  <r>
    <x v="99"/>
    <s v="Frais d'impression sur bâche"/>
    <s v="Office Materials"/>
    <s v="Office"/>
    <x v="0"/>
    <x v="367"/>
    <n v="582.90899999999999"/>
    <s v="Evariste"/>
    <s v="CA-A-R37"/>
    <s v="PALF"/>
    <x v="5"/>
    <s v="Congo"/>
    <x v="0"/>
    <x v="0"/>
    <m/>
  </r>
  <r>
    <x v="100"/>
    <s v="Bonus à un informateur en RDC"/>
    <s v="Trust Building"/>
    <s v="Investigations"/>
    <x v="30"/>
    <x v="353"/>
    <n v="582.90899999999999"/>
    <s v="DOVI"/>
    <s v="CA-A-R39"/>
    <s v="PALF"/>
    <x v="5"/>
    <s v="Congo"/>
    <x v="0"/>
    <x v="0"/>
    <m/>
  </r>
  <r>
    <x v="100"/>
    <s v=" frais de ramassage Ordure Avril 2025"/>
    <s v="Services"/>
    <s v="Office"/>
    <x v="37"/>
    <x v="354"/>
    <n v="582.90899999999999"/>
    <s v="Parfaite"/>
    <s v="CA-A-R38"/>
    <s v="PALF"/>
    <x v="5"/>
    <s v="Congo"/>
    <x v="0"/>
    <x v="0"/>
    <m/>
  </r>
  <r>
    <x v="100"/>
    <s v="Cumul frais de frais de transport local du mois d'Avril 2025/P29"/>
    <s v="Transport"/>
    <s v="Investigations"/>
    <x v="212"/>
    <x v="386"/>
    <n v="582.90899999999999"/>
    <s v="P29"/>
    <s v="P29-A-D2"/>
    <s v="PALF"/>
    <x v="5"/>
    <s v="Congo"/>
    <x v="0"/>
    <x v="0"/>
    <m/>
  </r>
  <r>
    <x v="100"/>
    <s v="Cumul frais de trust building du mois d'Avril 2025/P29"/>
    <s v="Trust Building"/>
    <s v="Investigations"/>
    <x v="94"/>
    <x v="343"/>
    <n v="582.90899999999999"/>
    <s v="P29"/>
    <s v="P29-A-D3"/>
    <s v="PALF"/>
    <x v="5"/>
    <s v="Congo"/>
    <x v="0"/>
    <x v="0"/>
    <m/>
  </r>
  <r>
    <x v="100"/>
    <s v="Cumul frais de trust building du mois d'Avril 2025/T73"/>
    <s v="Trust Building"/>
    <s v="Investigations"/>
    <x v="64"/>
    <x v="359"/>
    <n v="582.90899999999999"/>
    <s v="T73"/>
    <s v="T73-A-D2"/>
    <s v="PALF"/>
    <x v="5"/>
    <s v="Congo"/>
    <x v="0"/>
    <x v="0"/>
    <m/>
  </r>
  <r>
    <x v="100"/>
    <s v="Cumul frais de trust building du mois d'Avril 2025/G12"/>
    <s v="Trust Building"/>
    <s v="Investigations"/>
    <x v="119"/>
    <x v="335"/>
    <n v="582.90899999999999"/>
    <s v="G12"/>
    <s v="G12-A-D2"/>
    <s v="PALF"/>
    <x v="5"/>
    <s v="Congo"/>
    <x v="0"/>
    <x v="0"/>
    <m/>
  </r>
  <r>
    <x v="100"/>
    <s v="Cumul frais de transport local du mois d'Avril 2025/Romain"/>
    <s v="Transport"/>
    <s v="Legal"/>
    <x v="213"/>
    <x v="387"/>
    <n v="582.90899999999999"/>
    <s v="Romain"/>
    <s v="RM-A-D3"/>
    <s v="PALF"/>
    <x v="5"/>
    <s v="Congo"/>
    <x v="0"/>
    <x v="0"/>
    <m/>
  </r>
  <r>
    <x v="100"/>
    <s v="Frais de transport mission Maitre Alain à Owando du 28 au 30/04/2025"/>
    <s v="Transport"/>
    <s v="Legal"/>
    <x v="0"/>
    <x v="367"/>
    <n v="582.90899999999999"/>
    <s v="Roderlin"/>
    <s v="CA-A-R40"/>
    <s v="PALF"/>
    <x v="5"/>
    <s v="Congo"/>
    <x v="0"/>
    <x v="0"/>
    <m/>
  </r>
  <r>
    <x v="100"/>
    <s v="Ration et frais d'hotel mission maitre Alain à Owando du 28 au 30/04/2025"/>
    <s v="Travel Subsistence"/>
    <s v="Legal"/>
    <x v="30"/>
    <x v="353"/>
    <n v="582.90899999999999"/>
    <s v="Roderlin"/>
    <s v="CA-A-R41"/>
    <s v="PALF"/>
    <x v="5"/>
    <s v="Congo"/>
    <x v="0"/>
    <x v="0"/>
    <m/>
  </r>
  <r>
    <x v="100"/>
    <s v="Frais de transport mission Maitre Hélene à Owando du 28 au 30/04/2025"/>
    <s v="Transport"/>
    <s v="Legal"/>
    <x v="0"/>
    <x v="367"/>
    <n v="582.90899999999999"/>
    <s v="Roderlin"/>
    <s v="CA-A-R42"/>
    <s v="PALF"/>
    <x v="5"/>
    <s v="Congo"/>
    <x v="0"/>
    <x v="0"/>
    <m/>
  </r>
  <r>
    <x v="100"/>
    <s v="Ration et frais d'hotel mission maitre Hélene à Owando du 28 au 30/04/2025"/>
    <s v="Travel Subsistence"/>
    <s v="Legal"/>
    <x v="30"/>
    <x v="353"/>
    <n v="582.90899999999999"/>
    <s v="Roderlin"/>
    <s v="CA-A-R43"/>
    <s v="PALF"/>
    <x v="5"/>
    <s v="Congo"/>
    <x v="0"/>
    <x v="0"/>
    <m/>
  </r>
  <r>
    <x v="100"/>
    <s v="Frais de transfert Bonus à un informateur en RDC"/>
    <s v="Transfer Fees"/>
    <s v="Office"/>
    <x v="214"/>
    <x v="388"/>
    <n v="582.90899999999999"/>
    <s v="Roderlin"/>
    <s v="CA-A-R44"/>
    <s v="PALF"/>
    <x v="5"/>
    <s v="Congo"/>
    <x v="0"/>
    <x v="0"/>
    <m/>
  </r>
  <r>
    <x v="100"/>
    <s v="Paiement salaire du mois d'Avril 2025/Homéfa DOVI/3654855"/>
    <s v="Personnel"/>
    <s v="Management"/>
    <x v="57"/>
    <x v="389"/>
    <n v="582.90899999999999"/>
    <s v="BCI"/>
    <s v="BQ-A-R14"/>
    <s v="PALF"/>
    <x v="5"/>
    <s v="Congo"/>
    <x v="0"/>
    <x v="0"/>
    <m/>
  </r>
  <r>
    <x v="100"/>
    <s v="Paiement salaire du mois d'Avril 2025/BAVOUMINA NZOUSSI Dina Parfaite/365854"/>
    <s v="Personnel"/>
    <s v="Office"/>
    <x v="96"/>
    <x v="390"/>
    <n v="582.90899999999999"/>
    <s v="BCI"/>
    <s v="BQ-A-R15"/>
    <s v="PALF"/>
    <x v="5"/>
    <s v="Congo"/>
    <x v="0"/>
    <x v="0"/>
    <m/>
  </r>
  <r>
    <x v="100"/>
    <s v="Paiement salaire du mois d'Avril 2025/BOUNGOU MAKOSSO Abraham/3654851"/>
    <s v="Personnel"/>
    <s v="Legal"/>
    <x v="58"/>
    <x v="349"/>
    <n v="582.90899999999999"/>
    <s v="BCI"/>
    <s v="BQ-A-R17"/>
    <s v="PALF"/>
    <x v="5"/>
    <s v="Congo"/>
    <x v="0"/>
    <x v="0"/>
    <m/>
  </r>
  <r>
    <x v="100"/>
    <s v="Paiement salaire du mois d'Avril 2025/LOUNDOU JeanRomain/3654853"/>
    <s v="Personnel"/>
    <s v="Legal"/>
    <x v="58"/>
    <x v="349"/>
    <n v="582.90899999999999"/>
    <s v="BCI"/>
    <s v="BQ-A-R18"/>
    <s v="PALF"/>
    <x v="5"/>
    <s v="Congo"/>
    <x v="0"/>
    <x v="0"/>
    <m/>
  </r>
  <r>
    <x v="100"/>
    <s v="Paiement salaire du mois d'Avril 2025/Crepin IBOUILI-IBOUILI"/>
    <s v="Personnel"/>
    <s v="Legal"/>
    <x v="59"/>
    <x v="391"/>
    <n v="582.90899999999999"/>
    <s v="BCI"/>
    <s v="BQ-A-R19"/>
    <s v="PALF"/>
    <x v="5"/>
    <s v="Congo"/>
    <x v="0"/>
    <x v="0"/>
    <m/>
  </r>
  <r>
    <x v="100"/>
    <s v="Paiement salaire du mois d'Avril 2025/PINDI BINGA Donald- Roméo"/>
    <s v="Personnel"/>
    <s v="Legal"/>
    <x v="8"/>
    <x v="383"/>
    <n v="582.90899999999999"/>
    <s v="BCI"/>
    <s v="BQ-A-R21"/>
    <s v="PALF"/>
    <x v="5"/>
    <s v="Congo"/>
    <x v="0"/>
    <x v="0"/>
    <m/>
  </r>
  <r>
    <x v="100"/>
    <s v="Frais de virement salaire du mois d'avril 2025"/>
    <s v="Bank fees"/>
    <s v="Office"/>
    <x v="72"/>
    <x v="392"/>
    <n v="582.90899999999999"/>
    <s v="BCI"/>
    <s v="BQ-A-R25"/>
    <s v="PALF"/>
    <x v="5"/>
    <s v="Congo"/>
    <x v="0"/>
    <x v="0"/>
    <m/>
  </r>
  <r>
    <x v="101"/>
    <s v="Achat billet Brazzaville-Owando/ Roderlin"/>
    <s v="Transport"/>
    <s v="Legal"/>
    <x v="12"/>
    <x v="331"/>
    <n v="582.90899999999999"/>
    <s v="Roderlin"/>
    <s v="RO-A-R11"/>
    <s v="PALF"/>
    <x v="5"/>
    <s v="Congo"/>
    <x v="0"/>
    <x v="0"/>
    <m/>
  </r>
  <r>
    <x v="102"/>
    <s v="Achat billet Brazzaville-Owando/ Donald-Roméo"/>
    <s v="Transport "/>
    <s v="Legal"/>
    <x v="12"/>
    <x v="331"/>
    <n v="582.90899999999999"/>
    <s v="Donald-Romeo"/>
    <s v="DR-A-R8"/>
    <s v="PALF"/>
    <x v="5"/>
    <s v="Congo"/>
    <x v="0"/>
    <x v="0"/>
    <m/>
  </r>
  <r>
    <x v="103"/>
    <s v="Reglement loyer du mois d'Avril 2025/3654847"/>
    <s v="Rent &amp; Utilities"/>
    <s v="Office"/>
    <x v="9"/>
    <x v="393"/>
    <n v="582.90899999999999"/>
    <s v="BCI"/>
    <s v="BQ-A-R25"/>
    <s v="PALF"/>
    <x v="5"/>
    <s v="Congo"/>
    <x v="0"/>
    <x v="0"/>
    <m/>
  </r>
  <r>
    <x v="103"/>
    <s v=" Frais de prestation de nettoyage jardin PALF Avril 2025"/>
    <s v="Services"/>
    <s v="Office"/>
    <x v="0"/>
    <x v="367"/>
    <n v="582.90899999999999"/>
    <s v="Parfaite"/>
    <s v="CA-A-R45"/>
    <s v="PALF"/>
    <x v="5"/>
    <s v="Congo"/>
    <x v="0"/>
    <x v="0"/>
    <m/>
  </r>
  <r>
    <x v="103"/>
    <s v="Reglement prestation de nettoyage  PALF du mois d'Avril 2025"/>
    <s v="Services"/>
    <s v="Office"/>
    <x v="73"/>
    <x v="394"/>
    <n v="582.90899999999999"/>
    <s v="Parfaite"/>
    <s v="CA-A-R46"/>
    <s v="PALF"/>
    <x v="5"/>
    <s v="Congo"/>
    <x v="0"/>
    <x v="0"/>
    <m/>
  </r>
  <r>
    <x v="103"/>
    <s v="Roderlin-CONGO Ration du 28 au 30/04/2025 à Owando "/>
    <s v="Travel Subsistence"/>
    <s v="Legal"/>
    <x v="0"/>
    <x v="367"/>
    <n v="582.90899999999999"/>
    <s v="Roderlin"/>
    <s v="RO-A-D4"/>
    <s v="PALF"/>
    <x v="5"/>
    <s v="Congo"/>
    <x v="0"/>
    <x v="0"/>
    <m/>
  </r>
  <r>
    <x v="103"/>
    <s v="DONALD ROMEO- CONGO Ration  du  28 au 30/04/2025 à Owando"/>
    <s v="Travel Subsistence"/>
    <s v="Legal"/>
    <x v="0"/>
    <x v="367"/>
    <n v="582.90899999999999"/>
    <s v="Donald-Romeo"/>
    <s v="DR-A-D2"/>
    <s v="PALF"/>
    <x v="5"/>
    <s v="Congo"/>
    <x v="0"/>
    <x v="0"/>
    <m/>
  </r>
  <r>
    <x v="103"/>
    <s v="Cumul frais de transport local du mois d'Avril 2025/Evariste"/>
    <s v="Transport"/>
    <s v="Media"/>
    <x v="215"/>
    <x v="395"/>
    <n v="582.90899999999999"/>
    <s v="Evariste"/>
    <s v="EV-A-D2"/>
    <s v="PALF"/>
    <x v="5"/>
    <s v="Congo"/>
    <x v="0"/>
    <x v="0"/>
    <m/>
  </r>
  <r>
    <x v="103"/>
    <s v="Bonus media portant sur l'annonce de l'audience du 29 Avril 2025 au tribunal de gande instance d'Owado "/>
    <s v="Bonus to media officer"/>
    <s v="Media"/>
    <x v="216"/>
    <x v="396"/>
    <n v="582.90899999999999"/>
    <s v="Evariste"/>
    <s v="CA-A-D16"/>
    <s v="PALF"/>
    <x v="5"/>
    <s v="Congo"/>
    <x v="0"/>
    <x v="0"/>
    <m/>
  </r>
  <r>
    <x v="103"/>
    <s v="Frais de l'avis de recrutement  investigateurs dans le depeches de Brazzaville"/>
    <s v="Publication"/>
    <s v="Office"/>
    <x v="217"/>
    <x v="397"/>
    <n v="582.90899999999999"/>
    <s v="Evariste"/>
    <s v="CA-A-R47"/>
    <s v="PALF"/>
    <x v="5"/>
    <s v="Congo"/>
    <x v="0"/>
    <x v="0"/>
    <m/>
  </r>
  <r>
    <x v="104"/>
    <s v="Cumul frais de transport local du mois d'Avril 2025/G12"/>
    <s v="Transport"/>
    <s v="Investigations"/>
    <x v="218"/>
    <x v="398"/>
    <n v="582.90899999999999"/>
    <s v="G12"/>
    <s v="G12-A-D3"/>
    <s v="PALF"/>
    <x v="5"/>
    <s v="Congo"/>
    <x v="0"/>
    <x v="0"/>
    <m/>
  </r>
  <r>
    <x v="104"/>
    <s v="Frais de la matérialisation de décisions de justice/Frais d'expédition/Paiement de l'acte d'appel"/>
    <s v="Court fees"/>
    <s v="Legal"/>
    <x v="145"/>
    <x v="338"/>
    <n v="582.90899999999999"/>
    <s v="Roderlin"/>
    <s v="RO-A-R12"/>
    <s v="PALF"/>
    <x v="5"/>
    <s v="Congo"/>
    <x v="0"/>
    <x v="0"/>
    <m/>
  </r>
  <r>
    <x v="104"/>
    <s v="Achat billet Owando-Brazzaville/ Roderlin"/>
    <s v="Transport"/>
    <s v="Legal"/>
    <x v="12"/>
    <x v="331"/>
    <n v="582.90899999999999"/>
    <s v="Roderlin"/>
    <s v="RO-A-R13"/>
    <s v="PALF"/>
    <x v="5"/>
    <s v="Congo"/>
    <x v="0"/>
    <x v="0"/>
    <m/>
  </r>
  <r>
    <x v="104"/>
    <s v="Roderlin-CONGO frais d'hôtel du 28 au 30/04/2025 à Owando (02 nuitées)"/>
    <s v="Travel Subsistence"/>
    <s v="Legal"/>
    <x v="44"/>
    <x v="337"/>
    <n v="582.90899999999999"/>
    <s v="Roderlin"/>
    <s v="RO-A-R14"/>
    <s v="PALF"/>
    <x v="5"/>
    <s v="Congo"/>
    <x v="0"/>
    <x v="0"/>
    <m/>
  </r>
  <r>
    <x v="104"/>
    <s v="Paiement salaire du mois d'Avril 2025/Evariste LELOUSSI/3654857"/>
    <s v="Personnel"/>
    <s v="Media"/>
    <x v="219"/>
    <x v="399"/>
    <n v="582.90899999999999"/>
    <s v="BCI"/>
    <s v="BQ-A-R20"/>
    <s v="PALF"/>
    <x v="5"/>
    <s v="Congo"/>
    <x v="0"/>
    <x v="0"/>
    <m/>
  </r>
  <r>
    <x v="105"/>
    <s v="Achat billet Owando-Brazzaville/ Donald-Roméo"/>
    <s v="Transport "/>
    <s v="Legal"/>
    <x v="12"/>
    <x v="331"/>
    <n v="582.90899999999999"/>
    <s v="Donald-Romeo"/>
    <s v="DR-A-R9"/>
    <s v="PALF"/>
    <x v="5"/>
    <s v="Congo"/>
    <x v="0"/>
    <x v="0"/>
    <m/>
  </r>
  <r>
    <x v="105"/>
    <s v="Cumul frais de transport local du mois d'Avril 2025/DOVI"/>
    <s v="Transport"/>
    <s v="Management"/>
    <x v="220"/>
    <x v="400"/>
    <n v="582.90899999999999"/>
    <s v="DOVI"/>
    <s v="DH-A-D1"/>
    <s v="PALF"/>
    <x v="5"/>
    <s v="Congo"/>
    <x v="0"/>
    <x v="0"/>
    <m/>
  </r>
  <r>
    <x v="105"/>
    <s v="Cumul frais de transport local du mois d'Avril 2025/Crépin"/>
    <s v="Transport"/>
    <s v="Legal"/>
    <x v="221"/>
    <x v="401"/>
    <n v="582.90899999999999"/>
    <s v="Crépin"/>
    <s v="CR-A-D2"/>
    <s v="PALF"/>
    <x v="5"/>
    <s v="Congo"/>
    <x v="0"/>
    <x v="0"/>
    <m/>
  </r>
  <r>
    <x v="105"/>
    <s v="Cumul frais de transport local du mois d'Avril 2025/ Parfaite"/>
    <s v="Transport"/>
    <s v="Office"/>
    <x v="222"/>
    <x v="402"/>
    <n v="582.90899999999999"/>
    <s v="Parfaite"/>
    <s v="P-A-D1"/>
    <s v="PALF"/>
    <x v="5"/>
    <s v="Congo"/>
    <x v="0"/>
    <x v="0"/>
    <m/>
  </r>
  <r>
    <x v="105"/>
    <s v="Reglement facture internet periode du 01/05 au 31/05/2025 bureau PALF"/>
    <s v="Internet"/>
    <s v="Office"/>
    <x v="87"/>
    <x v="403"/>
    <n v="582.90899999999999"/>
    <s v="Parfaite"/>
    <s v="CA-A-R48"/>
    <s v="PALF"/>
    <x v="5"/>
    <s v="Congo"/>
    <x v="0"/>
    <x v="0"/>
    <m/>
  </r>
  <r>
    <x v="105"/>
    <s v="Team building à l'occassion du 1er Mai 2025"/>
    <s v="Personnel"/>
    <s v="Team Building"/>
    <x v="223"/>
    <x v="404"/>
    <n v="582.90899999999999"/>
    <s v="Parfaite"/>
    <s v="CA-A-R49"/>
    <s v="PALF"/>
    <x v="5"/>
    <s v="Congo"/>
    <x v="0"/>
    <x v="0"/>
    <m/>
  </r>
  <r>
    <x v="105"/>
    <s v="Cumul frais de transport local du mois d'Avril 2025/T73"/>
    <s v="Transport"/>
    <s v="Investigations"/>
    <x v="224"/>
    <x v="405"/>
    <n v="582.90899999999999"/>
    <s v="T73"/>
    <s v="T73-A-D3"/>
    <s v="PALF"/>
    <x v="5"/>
    <s v="Congo"/>
    <x v="0"/>
    <x v="0"/>
    <m/>
  </r>
  <r>
    <x v="105"/>
    <s v="Cumul frais de transport local du mois d'Avril 2025/Roderlin"/>
    <s v="Transport"/>
    <s v="Legal"/>
    <x v="225"/>
    <x v="406"/>
    <n v="582.90899999999999"/>
    <s v="Roderlin"/>
    <s v="RO-A-D5"/>
    <s v="PALF"/>
    <x v="5"/>
    <s v="Congo"/>
    <x v="0"/>
    <x v="0"/>
    <m/>
  </r>
  <r>
    <x v="105"/>
    <s v="DONALD ROMEO- CONGO Frais d'hôtel du  28 au 30/04/2025 à Owando (02 Nuitées)"/>
    <s v="Travel Subsistence"/>
    <s v="Legal"/>
    <x v="44"/>
    <x v="337"/>
    <n v="582.90899999999999"/>
    <s v="Donald-Romeo"/>
    <s v="DR-A-R10"/>
    <s v="PALF"/>
    <x v="5"/>
    <s v="Congo"/>
    <x v="0"/>
    <x v="0"/>
    <m/>
  </r>
  <r>
    <x v="105"/>
    <s v="Cumul frais de transport local du mois d'Avril 2025/ Donald-Romeo"/>
    <s v="Transport "/>
    <s v="Legal"/>
    <x v="44"/>
    <x v="337"/>
    <n v="582.90899999999999"/>
    <s v="Donald-Romeo"/>
    <s v="DR-A-D3"/>
    <s v="PALF"/>
    <x v="5"/>
    <s v="Congo"/>
    <x v="0"/>
    <x v="0"/>
    <m/>
  </r>
  <r>
    <x v="105"/>
    <s v="Reglement honoraire du mois de d'Avril 2025/P29/3654846"/>
    <s v="Personnel"/>
    <s v="Investigations"/>
    <x v="226"/>
    <x v="407"/>
    <n v="582.90899999999999"/>
    <s v="BCI"/>
    <s v="BQ-A-R22"/>
    <s v="PALF"/>
    <x v="5"/>
    <s v="Congo"/>
    <x v="0"/>
    <x v="0"/>
    <m/>
  </r>
  <r>
    <x v="105"/>
    <s v="Reglement honoraire du mois d'Avril 2025/G12/3654859"/>
    <s v="Personnel"/>
    <s v="Investigations"/>
    <x v="66"/>
    <x v="408"/>
    <n v="582.90899999999999"/>
    <s v="BCI"/>
    <s v="BQ-A-R23"/>
    <s v="PALF"/>
    <x v="5"/>
    <s v="Congo"/>
    <x v="0"/>
    <x v="0"/>
    <m/>
  </r>
  <r>
    <x v="105"/>
    <s v="Reglement honoraire du mois d'Avril 2025/T73/365482960"/>
    <s v="Personnel"/>
    <s v="Investigations"/>
    <x v="66"/>
    <x v="408"/>
    <n v="582.90899999999999"/>
    <s v="BCI"/>
    <s v="BQ-A-R24"/>
    <s v="PALF"/>
    <x v="5"/>
    <s v="Congo"/>
    <x v="0"/>
    <x v="0"/>
    <m/>
  </r>
  <r>
    <x v="106"/>
    <s v="Bonus media portant sur l'interpellation de 2 Présumés trafiquants le 29/04/2025 à Owando"/>
    <s v="Bonus to media officer"/>
    <s v="Media"/>
    <x v="227"/>
    <x v="409"/>
    <n v="579.64599999999996"/>
    <s v="Evariste"/>
    <s v="CA-MA-D1"/>
    <s v="PALF"/>
    <x v="1"/>
    <s v="Congo"/>
    <x v="0"/>
    <x v="0"/>
    <m/>
  </r>
  <r>
    <x v="107"/>
    <s v="Achat billet Brazzaville-kimongo/ P29"/>
    <s v="Transport"/>
    <s v="Investigations"/>
    <x v="45"/>
    <x v="248"/>
    <n v="579.64599999999996"/>
    <s v="P29"/>
    <s v="P29-MA-R1"/>
    <s v="PALF"/>
    <x v="1"/>
    <s v="Congo"/>
    <x v="0"/>
    <x v="0"/>
    <m/>
  </r>
  <r>
    <x v="107"/>
    <s v="P29 - CONGO Ration  du 03 au 10/05/2025 à  (07 Nuitées)"/>
    <s v="Travel Subsistence"/>
    <s v="Investigations"/>
    <x v="21"/>
    <x v="246"/>
    <n v="579.64599999999996"/>
    <s v="P29"/>
    <s v="P29-MA-D1"/>
    <s v="PALF"/>
    <x v="1"/>
    <s v="Congo"/>
    <x v="0"/>
    <x v="0"/>
    <m/>
  </r>
  <r>
    <x v="107"/>
    <s v="achat billet : brazzaville - Pointe noire/T73"/>
    <s v="Transport"/>
    <s v="Investigations"/>
    <x v="45"/>
    <x v="248"/>
    <n v="579.64599999999996"/>
    <s v="T73"/>
    <s v="T73-MA-R1"/>
    <s v="PALF"/>
    <x v="1"/>
    <s v="Congo"/>
    <x v="0"/>
    <x v="0"/>
    <m/>
  </r>
  <r>
    <x v="107"/>
    <s v="T73-CONGO Ration  du 03 au 10 /05/2025  à Pointe Noire, Madingo Kayes"/>
    <s v="Travel Subsistence"/>
    <s v="Investigations"/>
    <x v="21"/>
    <x v="246"/>
    <n v="579.64599999999996"/>
    <s v="T73"/>
    <s v="T73-MA-D1"/>
    <s v="PALF"/>
    <x v="1"/>
    <s v="Congo"/>
    <x v="0"/>
    <x v="0"/>
    <m/>
  </r>
  <r>
    <x v="107"/>
    <s v="Achat billet Brazzaville - loudima /G12"/>
    <s v="Transport"/>
    <s v="Investigations"/>
    <x v="12"/>
    <x v="235"/>
    <n v="579.64599999999996"/>
    <s v="G12"/>
    <s v="G12-MA-R1"/>
    <s v="PALF"/>
    <x v="1"/>
    <s v="Congo"/>
    <x v="0"/>
    <x v="0"/>
    <m/>
  </r>
  <r>
    <x v="107"/>
    <s v="G12-CONGO Rations du 03 au 10 /05/2025 à Sibiti, Zanaga et Loudima"/>
    <s v="Travel Subsistence"/>
    <s v="Investigations"/>
    <x v="21"/>
    <x v="246"/>
    <n v="579.64599999999996"/>
    <s v="G12"/>
    <s v="G12-MA-D1"/>
    <s v="PALF"/>
    <x v="1"/>
    <s v="Congo"/>
    <x v="0"/>
    <x v="0"/>
    <m/>
  </r>
  <r>
    <x v="107"/>
    <s v="Achat billet Loudima - Sibiti /G12"/>
    <s v="Transport"/>
    <s v="Investigations"/>
    <x v="101"/>
    <x v="256"/>
    <n v="579.64599999999996"/>
    <s v="G12"/>
    <s v="G12-MA-R2"/>
    <s v="PALF"/>
    <x v="1"/>
    <s v="Congo"/>
    <x v="0"/>
    <x v="0"/>
    <m/>
  </r>
  <r>
    <x v="108"/>
    <s v="Paiement salaire du mois d'Avril 2025/FOUMBA Roderlin/36552"/>
    <s v="Personnel"/>
    <s v="Legal"/>
    <x v="58"/>
    <x v="410"/>
    <n v="582.90899999999999"/>
    <s v="BCI"/>
    <s v="BQ-MA-R13"/>
    <s v="PALF"/>
    <x v="5"/>
    <s v="Congo"/>
    <x v="0"/>
    <x v="0"/>
    <m/>
  </r>
  <r>
    <x v="108"/>
    <s v="credit  teléphonique MTN/PALF/Première partie du mois de Mai 2025/Management"/>
    <s v="Telephone"/>
    <s v="Management"/>
    <x v="1"/>
    <x v="411"/>
    <n v="579.64599999999996"/>
    <s v="DOVI"/>
    <s v="DH-MA-R2"/>
    <s v="PALF"/>
    <x v="1"/>
    <s v="Congo"/>
    <x v="0"/>
    <x v="0"/>
    <m/>
  </r>
  <r>
    <x v="108"/>
    <s v="credit  teléphonique MTN/PALF/Première partie du mois de Mai 2025/Legal"/>
    <s v="Telephone"/>
    <s v="Legal"/>
    <x v="5"/>
    <x v="412"/>
    <n v="579.64599999999996"/>
    <s v="Crépin"/>
    <s v="CR-MA-R12"/>
    <s v="PALF"/>
    <x v="1"/>
    <s v="Congo"/>
    <x v="0"/>
    <x v="0"/>
    <m/>
  </r>
  <r>
    <x v="108"/>
    <s v="credit  teléphonique Airtel/PALF/Première partie du mois de Mai 2025/Legal"/>
    <s v="Telephone"/>
    <s v="Legal"/>
    <x v="31"/>
    <x v="413"/>
    <n v="579.64599999999996"/>
    <s v="Crépin"/>
    <s v="CR-MA-R13"/>
    <s v="PALF"/>
    <x v="1"/>
    <s v="Congo"/>
    <x v="0"/>
    <x v="0"/>
    <m/>
  </r>
  <r>
    <x v="108"/>
    <s v="Bonus du mois de Avril 2025/Crépin"/>
    <s v="Personnel"/>
    <s v="Legal"/>
    <x v="44"/>
    <x v="414"/>
    <n v="582.90899999999999"/>
    <s v="Crépin"/>
    <s v="CA-MA-D7"/>
    <s v="PALF"/>
    <x v="5"/>
    <s v="Congo"/>
    <x v="0"/>
    <x v="0"/>
    <m/>
  </r>
  <r>
    <x v="108"/>
    <s v="Frais de transfert d'argent à P29 "/>
    <s v="Transfer Fees"/>
    <s v="Office"/>
    <x v="228"/>
    <x v="415"/>
    <n v="579.64599999999996"/>
    <s v="Parfaite"/>
    <s v="CA-MA-R1"/>
    <s v="PALF"/>
    <x v="1"/>
    <s v="Congo"/>
    <x v="0"/>
    <x v="0"/>
    <m/>
  </r>
  <r>
    <x v="108"/>
    <s v="Bonus du mois d'Avril 2025/Parfaite"/>
    <s v="Personnel"/>
    <s v="Office"/>
    <x v="44"/>
    <x v="414"/>
    <n v="582.90899999999999"/>
    <s v="Parfaite"/>
    <s v="CA-MA-D2"/>
    <s v="PALF"/>
    <x v="5"/>
    <s v="Congo"/>
    <x v="0"/>
    <x v="0"/>
    <m/>
  </r>
  <r>
    <x v="108"/>
    <s v="credit  teléphonique MTN/PALF/Première partie du mois de Mai 2025/Office"/>
    <s v="Telephone"/>
    <s v="Office"/>
    <x v="1"/>
    <x v="411"/>
    <n v="579.64599999999996"/>
    <s v="Parfaite"/>
    <s v="P-MA-R1"/>
    <s v="PALF"/>
    <x v="1"/>
    <s v="Congo"/>
    <x v="0"/>
    <x v="0"/>
    <m/>
  </r>
  <r>
    <x v="108"/>
    <s v="credit  teléphonique MTN/PALF/Première partie du mois de Mai 2025/Investigation"/>
    <s v="Telephone"/>
    <s v="Investigations"/>
    <x v="4"/>
    <x v="416"/>
    <n v="579.64599999999996"/>
    <s v="P29"/>
    <s v="P29-MA-R19"/>
    <s v="PALF"/>
    <x v="1"/>
    <s v="Congo"/>
    <x v="0"/>
    <x v="0"/>
    <m/>
  </r>
  <r>
    <x v="108"/>
    <s v="credit  teléphonique Airtel/PALF/Première partie du mois de mai 2025/Investigation"/>
    <s v="Telephone"/>
    <s v="Investigations"/>
    <x v="5"/>
    <x v="412"/>
    <n v="579.64599999999996"/>
    <s v="P29"/>
    <s v="P29-MA-R20"/>
    <s v="PALF"/>
    <x v="1"/>
    <s v="Congo"/>
    <x v="0"/>
    <x v="0"/>
    <m/>
  </r>
  <r>
    <x v="108"/>
    <s v="credit  teléphonique MTN/PALF/Première partie du mois de Mai 2025/Investigation"/>
    <s v="Telephone"/>
    <s v="Investigations"/>
    <x v="51"/>
    <x v="417"/>
    <n v="579.64599999999996"/>
    <s v="T73"/>
    <s v="T73-MA-R17"/>
    <s v="PALF"/>
    <x v="1"/>
    <s v="Congo"/>
    <x v="0"/>
    <x v="0"/>
    <m/>
  </r>
  <r>
    <x v="108"/>
    <s v="credit  teléphonique MTN/PALF/Première partie du mois de mai 2025/Investigation"/>
    <s v="Telephone"/>
    <s v="Investigations"/>
    <x v="51"/>
    <x v="417"/>
    <n v="579.64599999999996"/>
    <s v="G12"/>
    <s v="G12-MA-R19"/>
    <s v="PALF"/>
    <x v="1"/>
    <s v="Congo"/>
    <x v="0"/>
    <x v="0"/>
    <m/>
  </r>
  <r>
    <x v="108"/>
    <s v="credit  teléphonique MTN/PALF/Première partie du mois de Mai 2025/Legal"/>
    <s v="Telephone"/>
    <s v="Legal"/>
    <x v="5"/>
    <x v="412"/>
    <n v="579.64599999999996"/>
    <s v="Abraham"/>
    <s v="AB-MA-R3"/>
    <s v="PALF"/>
    <x v="1"/>
    <s v="Congo"/>
    <x v="0"/>
    <x v="0"/>
    <m/>
  </r>
  <r>
    <x v="108"/>
    <s v="credit  teléphonique Airtel/PALF/Première partie du mois de mai 2025/Legal"/>
    <s v="Telephone"/>
    <s v="Legal"/>
    <x v="31"/>
    <x v="413"/>
    <n v="579.64599999999996"/>
    <s v="Abraham"/>
    <s v="AB-MA-R4"/>
    <s v="PALF"/>
    <x v="1"/>
    <s v="Congo"/>
    <x v="0"/>
    <x v="0"/>
    <m/>
  </r>
  <r>
    <x v="108"/>
    <s v="Frais de transfert d'argent à G12 et T73"/>
    <s v="Transfer Fees"/>
    <s v="Office"/>
    <x v="229"/>
    <x v="418"/>
    <n v="579.64599999999996"/>
    <s v="Abraham"/>
    <s v="CA-MA-R2"/>
    <s v="PALF"/>
    <x v="1"/>
    <s v="Congo"/>
    <x v="0"/>
    <x v="0"/>
    <m/>
  </r>
  <r>
    <x v="108"/>
    <s v="Bonus du mois d'Avril 2025/Abraham"/>
    <s v="Personnel"/>
    <s v="Legal"/>
    <x v="44"/>
    <x v="414"/>
    <n v="582.90899999999999"/>
    <s v="Abraham"/>
    <s v="CA-MA-D5"/>
    <s v="PALF"/>
    <x v="5"/>
    <s v="Congo"/>
    <x v="0"/>
    <x v="0"/>
    <m/>
  </r>
  <r>
    <x v="108"/>
    <s v="Bonus du mois de d'avril 2025/Roderlin"/>
    <s v="Personnel"/>
    <s v="Legal"/>
    <x v="44"/>
    <x v="414"/>
    <n v="582.90899999999999"/>
    <s v="Roderlin"/>
    <s v="CA-MA-D6"/>
    <s v="PALF"/>
    <x v="5"/>
    <s v="Congo"/>
    <x v="0"/>
    <x v="0"/>
    <m/>
  </r>
  <r>
    <x v="108"/>
    <s v="Bonus du mois d'Avril 2025/Donal-Roméo"/>
    <s v="Personnel"/>
    <s v="Legal"/>
    <x v="44"/>
    <x v="414"/>
    <n v="582.90899999999999"/>
    <s v="Donald-Romeo"/>
    <s v="CA-MA-D4"/>
    <s v="PALF"/>
    <x v="5"/>
    <s v="Congo"/>
    <x v="0"/>
    <x v="0"/>
    <m/>
  </r>
  <r>
    <x v="108"/>
    <s v="credit  teléphonique MTN/PALF/Première partie du mois de Mai 2025/Legal"/>
    <s v="Telephone"/>
    <s v="Legal"/>
    <x v="1"/>
    <x v="411"/>
    <n v="579.64599999999996"/>
    <s v="Donald-Romeo"/>
    <s v="DR-MA-R9"/>
    <s v="PALF"/>
    <x v="1"/>
    <s v="Congo"/>
    <x v="0"/>
    <x v="0"/>
    <m/>
  </r>
  <r>
    <x v="108"/>
    <s v="Bonus du mois d'Avril 2025/Romain"/>
    <s v="Personnel"/>
    <s v="Legal"/>
    <x v="44"/>
    <x v="414"/>
    <n v="582.90899999999999"/>
    <s v="Romain"/>
    <s v="CA-MA-D3"/>
    <s v="PALF"/>
    <x v="5"/>
    <s v="Congo"/>
    <x v="0"/>
    <x v="0"/>
    <m/>
  </r>
  <r>
    <x v="108"/>
    <s v="credit  teléphonique MTN/PALF/Première partie du mois de Mai 2025/Legal"/>
    <s v="Telephone"/>
    <s v="Legal"/>
    <x v="1"/>
    <x v="411"/>
    <n v="579.64599999999996"/>
    <s v="Romain"/>
    <s v="RM-MA-R8"/>
    <s v="PALF"/>
    <x v="1"/>
    <s v="Congo"/>
    <x v="0"/>
    <x v="0"/>
    <m/>
  </r>
  <r>
    <x v="109"/>
    <s v="Solde  honoraire contrat n°82 Owando cas NGASSAKI et ELOMBO/ Maître BANZOUZI Alain/3654862"/>
    <s v="Lawyer Fees"/>
    <s v="Legal"/>
    <x v="8"/>
    <x v="419"/>
    <n v="579.64599999999996"/>
    <s v="BCI"/>
    <s v="BQ-MA-R1"/>
    <s v="PALF"/>
    <x v="1"/>
    <s v="Congo"/>
    <x v="0"/>
    <x v="0"/>
    <m/>
  </r>
  <r>
    <x v="109"/>
    <s v="Règlement loyer/Avril 2025 (Coordinateur)"/>
    <s v="Personnel"/>
    <s v="Management"/>
    <x v="85"/>
    <x v="420"/>
    <n v="582.90899999999999"/>
    <s v="DOVI"/>
    <s v="DH-MA-R1"/>
    <s v="PALF"/>
    <x v="5"/>
    <s v="Congo"/>
    <x v="0"/>
    <x v="0"/>
    <m/>
  </r>
  <r>
    <x v="109"/>
    <s v="P29 -CONGO Frais d'hotel du 03 au 06/05/2025 à Kimongo"/>
    <s v="Travel Subsistence"/>
    <s v="Investigations"/>
    <x v="22"/>
    <x v="421"/>
    <n v="579.64599999999996"/>
    <s v="P29"/>
    <s v="P29-MA-R2"/>
    <s v="PALF"/>
    <x v="1"/>
    <s v="Congo"/>
    <x v="0"/>
    <x v="0"/>
    <m/>
  </r>
  <r>
    <x v="109"/>
    <s v="Achat billet kimongo-dibeni/P29"/>
    <s v="Transport"/>
    <s v="Investigations"/>
    <x v="63"/>
    <x v="422"/>
    <n v="579.64599999999996"/>
    <s v="P29"/>
    <s v="P29-MA-R3"/>
    <s v="PALF"/>
    <x v="1"/>
    <s v="Congo"/>
    <x v="0"/>
    <x v="0"/>
    <m/>
  </r>
  <r>
    <x v="109"/>
    <s v="T73 - CONGO Frais d'hotel du 03 au 06/05/2025  à Pointe noire (03 Nuitées)"/>
    <s v="Travel Subsistence"/>
    <s v="Investigations"/>
    <x v="22"/>
    <x v="421"/>
    <n v="579.64599999999996"/>
    <s v="T73"/>
    <s v="T73-MA-R2"/>
    <s v="PALF"/>
    <x v="1"/>
    <s v="Congo"/>
    <x v="0"/>
    <x v="0"/>
    <m/>
  </r>
  <r>
    <x v="109"/>
    <s v="Achat billet Pointe noire - Madingo kaye/T73"/>
    <s v="Transport"/>
    <s v="Investigations"/>
    <x v="31"/>
    <x v="413"/>
    <n v="579.64599999999996"/>
    <s v="T73"/>
    <s v="T73-MA-R3"/>
    <s v="PALF"/>
    <x v="1"/>
    <s v="Congo"/>
    <x v="0"/>
    <x v="0"/>
    <m/>
  </r>
  <r>
    <x v="109"/>
    <s v="G12-CONGO Frais d'hôtel du 03 au 06 /05/2025 à SIBITI (03 Nuitées)"/>
    <s v="Travel Subsistence"/>
    <s v="Investigations"/>
    <x v="22"/>
    <x v="421"/>
    <n v="579.64599999999996"/>
    <s v="G12"/>
    <s v="G12-MA-R3"/>
    <s v="PALF"/>
    <x v="1"/>
    <s v="Congo"/>
    <x v="0"/>
    <x v="0"/>
    <m/>
  </r>
  <r>
    <x v="109"/>
    <s v="Achat billet Sibiti - Zanaga /G12"/>
    <s v="Transport"/>
    <s v="Investigations"/>
    <x v="4"/>
    <x v="416"/>
    <n v="579.64599999999996"/>
    <s v="G12"/>
    <s v="G12-MA-R4"/>
    <s v="PALF"/>
    <x v="1"/>
    <s v="Congo"/>
    <x v="0"/>
    <x v="0"/>
    <m/>
  </r>
  <r>
    <x v="109"/>
    <s v="Frais de transport mission Maitre Alain à Dolisie du 07 au 10/05/2025"/>
    <s v="Transport"/>
    <s v="Legal"/>
    <x v="189"/>
    <x v="423"/>
    <n v="579.64599999999996"/>
    <s v="Abraham"/>
    <s v="CA-MA-R3"/>
    <s v="PALF"/>
    <x v="1"/>
    <s v="Congo"/>
    <x v="0"/>
    <x v="0"/>
    <m/>
  </r>
  <r>
    <x v="109"/>
    <s v="Ration et frais d'hotel mission maitre Alain à Dolisie du 07 au 10/05/2025"/>
    <s v="Travel Subsistence"/>
    <s v="Legal"/>
    <x v="116"/>
    <x v="424"/>
    <n v="579.64599999999996"/>
    <s v="Abraham"/>
    <s v="CA-MA-R4"/>
    <s v="PALF"/>
    <x v="1"/>
    <s v="Congo"/>
    <x v="0"/>
    <x v="0"/>
    <m/>
  </r>
  <r>
    <x v="109"/>
    <s v="credit  teléphonique MTN/PALF/Première partie du mois de Mai 2025/Legal"/>
    <s v="Telephone"/>
    <s v="Legal"/>
    <x v="1"/>
    <x v="411"/>
    <n v="579.64599999999996"/>
    <s v="Roderlin"/>
    <s v="RO-MA-R6"/>
    <s v="PALF"/>
    <x v="1"/>
    <s v="Congo"/>
    <x v="0"/>
    <x v="0"/>
    <m/>
  </r>
  <r>
    <x v="109"/>
    <s v="Achat billet Brazzaville-Dolisie/Donald-Roméo"/>
    <s v="Transport "/>
    <s v="Legal"/>
    <x v="4"/>
    <x v="416"/>
    <n v="579.64599999999996"/>
    <s v="Donald-Romeo"/>
    <s v="DR-MA-R1"/>
    <s v="PALF"/>
    <x v="1"/>
    <s v="Congo"/>
    <x v="0"/>
    <x v="0"/>
    <m/>
  </r>
  <r>
    <x v="109"/>
    <s v="Achat billet:Brazzaville-Dolisie/ Romain"/>
    <s v="Transport"/>
    <s v="Legal"/>
    <x v="4"/>
    <x v="416"/>
    <n v="579.64599999999996"/>
    <s v="Romain"/>
    <s v="RM-MA-R1"/>
    <s v="PALF"/>
    <x v="1"/>
    <s v="Congo"/>
    <x v="0"/>
    <x v="0"/>
    <m/>
  </r>
  <r>
    <x v="110"/>
    <s v="Reglement Facture Gardiennage Mois d'Avril 2025/3654863"/>
    <s v="Services"/>
    <s v="Office"/>
    <x v="10"/>
    <x v="425"/>
    <n v="579.64599999999996"/>
    <s v="BCI"/>
    <s v="BQ-MA-R2"/>
    <s v="PALF"/>
    <x v="1"/>
    <s v="Congo"/>
    <x v="0"/>
    <x v="0"/>
    <m/>
  </r>
  <r>
    <x v="110"/>
    <s v="Achat produit d'entretien lait,sucre,javel,papier toilette,sucre,café/Bureau PALF"/>
    <s v="Office Materials"/>
    <s v="Office"/>
    <x v="230"/>
    <x v="426"/>
    <n v="579.64599999999996"/>
    <s v="Parfaite"/>
    <s v="CA-MA-R5"/>
    <s v="PALF"/>
    <x v="1"/>
    <s v="Congo"/>
    <x v="0"/>
    <x v="0"/>
    <m/>
  </r>
  <r>
    <x v="110"/>
    <s v="DONALD-ROMEO/ CONGO Ration  du  07 au 10/05/2025 à Dolisie"/>
    <s v="Travel Subsistence"/>
    <s v="Legal"/>
    <x v="44"/>
    <x v="414"/>
    <n v="579.64599999999996"/>
    <s v="Donald-Romeo"/>
    <s v="DR-MA-D1"/>
    <s v="PALF"/>
    <x v="1"/>
    <s v="Congo"/>
    <x v="0"/>
    <x v="0"/>
    <m/>
  </r>
  <r>
    <x v="110"/>
    <s v="ROMAIN-CONGO Ration du 07 au 10/05/2025 à Dolisie"/>
    <s v="Travel Subsistence"/>
    <s v="Legal"/>
    <x v="44"/>
    <x v="414"/>
    <n v="579.64599999999996"/>
    <s v="Romain"/>
    <s v="RM-MA-D1"/>
    <s v="PALF"/>
    <x v="1"/>
    <s v="Congo"/>
    <x v="0"/>
    <x v="0"/>
    <m/>
  </r>
  <r>
    <x v="111"/>
    <s v="P29 -CONGO Frais d'hotel du 06 au 08/05/2025 à Dibeni"/>
    <s v="Travel Subsistence"/>
    <s v="Investigations"/>
    <x v="44"/>
    <x v="414"/>
    <n v="579.64599999999996"/>
    <s v="P29"/>
    <s v="P29-MA-R4"/>
    <s v="PALF"/>
    <x v="1"/>
    <s v="Congo"/>
    <x v="0"/>
    <x v="0"/>
    <m/>
  </r>
  <r>
    <x v="111"/>
    <s v="Achat billet dibeni-dolisie/P29"/>
    <s v="Transport"/>
    <s v="Investigations"/>
    <x v="12"/>
    <x v="427"/>
    <n v="579.64599999999996"/>
    <s v="P29"/>
    <s v="P29-MA-R5"/>
    <s v="PALF"/>
    <x v="1"/>
    <s v="Congo"/>
    <x v="0"/>
    <x v="0"/>
    <m/>
  </r>
  <r>
    <x v="111"/>
    <s v="T73 - CONGO Frais d'hotel du 06 au 08/05/2025  à Madingo kayes(02 Nuitées)"/>
    <s v="Travel Subsistence"/>
    <s v="Investigations"/>
    <x v="44"/>
    <x v="414"/>
    <n v="579.64599999999996"/>
    <s v="T73"/>
    <s v="T73-MA-R4"/>
    <s v="PALF"/>
    <x v="1"/>
    <s v="Congo"/>
    <x v="0"/>
    <x v="0"/>
    <m/>
  </r>
  <r>
    <x v="111"/>
    <s v="Achat billet  Madingo kaye - Pounga/ T73"/>
    <s v="Transport"/>
    <s v="Investigations"/>
    <x v="12"/>
    <x v="427"/>
    <n v="579.64599999999996"/>
    <s v="T73"/>
    <s v="T73-MA-R5"/>
    <s v="PALF"/>
    <x v="1"/>
    <s v="Congo"/>
    <x v="0"/>
    <x v="0"/>
    <m/>
  </r>
  <r>
    <x v="111"/>
    <s v="G12-CONGO Frais d'hotel du 06 au 08 /05/2025 à Zanaga (02 Nuitées)"/>
    <s v="Travel Subsistence"/>
    <s v="Investigations"/>
    <x v="44"/>
    <x v="414"/>
    <n v="579.64599999999996"/>
    <s v="G12"/>
    <s v="G12-MA-R5"/>
    <s v="PALF"/>
    <x v="1"/>
    <s v="Congo"/>
    <x v="0"/>
    <x v="0"/>
    <m/>
  </r>
  <r>
    <x v="111"/>
    <s v="Achat billet Zanaga - Sibiti/G12"/>
    <s v="Transport"/>
    <s v="Investigations"/>
    <x v="4"/>
    <x v="416"/>
    <n v="579.64599999999996"/>
    <s v="G12"/>
    <s v="G12-MA-R6"/>
    <s v="PALF"/>
    <x v="1"/>
    <s v="Congo"/>
    <x v="0"/>
    <x v="0"/>
    <m/>
  </r>
  <r>
    <x v="111"/>
    <s v="Achat bilet Sibiti - Loudima/G12"/>
    <s v="Transport"/>
    <s v="Investigations"/>
    <x v="101"/>
    <x v="428"/>
    <n v="579.64599999999996"/>
    <s v="G12"/>
    <s v="G12-MA-R7"/>
    <s v="PALF"/>
    <x v="1"/>
    <s v="Congo"/>
    <x v="0"/>
    <x v="0"/>
    <m/>
  </r>
  <r>
    <x v="112"/>
    <s v="Paiement Honoraire Me LOCKO/Mois d'Avril 2025/3654856"/>
    <s v="Lawyer Fees"/>
    <s v="Legal"/>
    <x v="11"/>
    <x v="429"/>
    <n v="579.64599999999996"/>
    <s v="BCI"/>
    <s v="BQ-MA-R14"/>
    <s v="PALF"/>
    <x v="1"/>
    <s v="Congo"/>
    <x v="0"/>
    <x v="0"/>
    <m/>
  </r>
  <r>
    <x v="112"/>
    <s v="Achat billet dolisie-Brazzaville/P29"/>
    <s v="Transport"/>
    <s v="Investigations"/>
    <x v="4"/>
    <x v="416"/>
    <n v="579.64599999999996"/>
    <s v="P29"/>
    <s v="P29-MA-R6"/>
    <s v="PALF"/>
    <x v="1"/>
    <s v="Congo"/>
    <x v="0"/>
    <x v="0"/>
    <m/>
  </r>
  <r>
    <x v="112"/>
    <s v="Frais de transfert d'argent à Donald-Roméo ,Me Alain et  Romain"/>
    <s v="Transfer Fees"/>
    <s v="Office"/>
    <x v="231"/>
    <x v="430"/>
    <n v="579.64599999999996"/>
    <s v="Roderlin"/>
    <s v="CA-MA-R6"/>
    <s v="PALF"/>
    <x v="1"/>
    <s v="Congo"/>
    <x v="0"/>
    <x v="0"/>
    <m/>
  </r>
  <r>
    <x v="112"/>
    <s v="Réglement facture électricité periode Mars-Avril 2025/bureau PALF"/>
    <s v="Rent &amp; Utilities"/>
    <s v="Office"/>
    <x v="232"/>
    <x v="431"/>
    <n v="579.64599999999996"/>
    <s v="Roderlin"/>
    <s v="CA-MA-R7"/>
    <s v="PALF"/>
    <x v="1"/>
    <s v="Congo"/>
    <x v="0"/>
    <x v="0"/>
    <m/>
  </r>
  <r>
    <x v="112"/>
    <s v="Achat billet Dolisie-Brazzaville/Donald-Roméo"/>
    <s v="Transport "/>
    <s v="Legal"/>
    <x v="4"/>
    <x v="416"/>
    <n v="579.64599999999996"/>
    <s v="Donald-Romeo"/>
    <s v="DR-MA-R2"/>
    <s v="PALF"/>
    <x v="1"/>
    <s v="Congo"/>
    <x v="0"/>
    <x v="0"/>
    <m/>
  </r>
  <r>
    <x v="112"/>
    <s v="Frais d'expédition"/>
    <s v="Court fees"/>
    <s v="Legal"/>
    <x v="0"/>
    <x v="432"/>
    <n v="579.64599999999996"/>
    <s v="Romain"/>
    <s v="RM-MA-R2"/>
    <s v="PALF"/>
    <x v="1"/>
    <s v="Congo"/>
    <x v="0"/>
    <x v="0"/>
    <m/>
  </r>
  <r>
    <x v="112"/>
    <s v="Achat billet  Dolisie-Brazzaville/ Romain"/>
    <s v="Transport"/>
    <s v="Legal"/>
    <x v="4"/>
    <x v="416"/>
    <n v="579.64599999999996"/>
    <s v="Romain"/>
    <s v="RM-MA-R3"/>
    <s v="PALF"/>
    <x v="1"/>
    <s v="Congo"/>
    <x v="0"/>
    <x v="0"/>
    <m/>
  </r>
  <r>
    <x v="113"/>
    <s v="P29 -CONGO Frais d'hotel du 08 au 10/05/2025 à Dolisie"/>
    <s v="Travel Subsistence"/>
    <s v="Investigations"/>
    <x v="44"/>
    <x v="414"/>
    <n v="579.64599999999996"/>
    <s v="P29"/>
    <s v="P29-MA-R7"/>
    <s v="PALF"/>
    <x v="1"/>
    <s v="Congo"/>
    <x v="0"/>
    <x v="0"/>
    <m/>
  </r>
  <r>
    <x v="113"/>
    <s v="T73 - CONGO Frais d'hotel du 06 au 08/05/2025 à Pounga (02 Nuitées)"/>
    <s v="Travel Subsistence"/>
    <s v="Investigations"/>
    <x v="44"/>
    <x v="414"/>
    <n v="579.64599999999996"/>
    <s v="T73"/>
    <s v="T73-MA-R6"/>
    <s v="PALF"/>
    <x v="1"/>
    <s v="Congo"/>
    <x v="0"/>
    <x v="0"/>
    <m/>
  </r>
  <r>
    <x v="113"/>
    <s v="Achat billet  Pounga - Brazzaville/T73"/>
    <s v="Transport"/>
    <s v="Investigations"/>
    <x v="45"/>
    <x v="433"/>
    <n v="579.64599999999996"/>
    <s v="T73"/>
    <s v="T73-MA-R7"/>
    <s v="PALF"/>
    <x v="1"/>
    <s v="Congo"/>
    <x v="0"/>
    <x v="0"/>
    <m/>
  </r>
  <r>
    <x v="113"/>
    <s v="G12-CONGO Frais d'hotel du 08 au 10 /05/2025 à Loudima (02 Nuitées)"/>
    <s v="Travel Subsistence"/>
    <s v="Investigations"/>
    <x v="44"/>
    <x v="414"/>
    <n v="579.64599999999996"/>
    <s v="G12"/>
    <s v="G12-MA-R8"/>
    <s v="PALF"/>
    <x v="1"/>
    <s v="Congo"/>
    <x v="0"/>
    <x v="0"/>
    <m/>
  </r>
  <r>
    <x v="113"/>
    <s v="Achat billet Loudima - Brazzaville/G12"/>
    <s v="Transport"/>
    <s v="Investigations"/>
    <x v="12"/>
    <x v="427"/>
    <n v="579.64599999999996"/>
    <s v="G12"/>
    <s v="G12-MA-R9"/>
    <s v="PALF"/>
    <x v="1"/>
    <s v="Congo"/>
    <x v="0"/>
    <x v="0"/>
    <m/>
  </r>
  <r>
    <x v="113"/>
    <s v="DONALD-ROMEO/CONGO Frais d'hôtel du 07 au 10/05/2025 à Dolisie (03 Nuitées)"/>
    <s v="Travel Subsistence"/>
    <s v="Legal"/>
    <x v="22"/>
    <x v="421"/>
    <n v="579.64599999999996"/>
    <s v="Donald-Romeo"/>
    <s v="DR-MA-R3"/>
    <s v="PALF"/>
    <x v="1"/>
    <s v="Congo"/>
    <x v="0"/>
    <x v="0"/>
    <m/>
  </r>
  <r>
    <x v="113"/>
    <s v="ROMAIN-CONGO Frais d'Hotel du 07 au 10/05/2025 à Dolisie (03nuitées)"/>
    <s v="Travel Subsistence"/>
    <s v="Legal"/>
    <x v="22"/>
    <x v="421"/>
    <n v="579.64599999999996"/>
    <s v="Romain"/>
    <s v="RM-MA-R4"/>
    <s v="PALF"/>
    <x v="1"/>
    <s v="Congo"/>
    <x v="0"/>
    <x v="0"/>
    <m/>
  </r>
  <r>
    <x v="114"/>
    <s v="Entretien palmier bureau PALF"/>
    <s v="Services"/>
    <s v="Office"/>
    <x v="7"/>
    <x v="434"/>
    <n v="579.64599999999996"/>
    <s v="DOVI"/>
    <s v="CA-MA-R9"/>
    <s v="PALF"/>
    <x v="1"/>
    <s v="Congo"/>
    <x v="0"/>
    <x v="0"/>
    <m/>
  </r>
  <r>
    <x v="114"/>
    <s v="Achat eau mineral 16 LITRES/Bureau"/>
    <s v="Office Materials"/>
    <s v="Office"/>
    <x v="7"/>
    <x v="434"/>
    <n v="579.64599999999996"/>
    <s v="Abraham"/>
    <s v="CA-MA-R8"/>
    <s v="PALF"/>
    <x v="1"/>
    <s v="Congo"/>
    <x v="0"/>
    <x v="0"/>
    <m/>
  </r>
  <r>
    <x v="115"/>
    <s v="Reglement loyer du mois de Mars 2025/3654865"/>
    <s v="Lawyer Fees"/>
    <s v="Legal"/>
    <x v="9"/>
    <x v="435"/>
    <n v="579.64599999999996"/>
    <s v="BCI"/>
    <s v="BQ-MA-R12"/>
    <s v="PALF"/>
    <x v="1"/>
    <s v="Congo"/>
    <x v="0"/>
    <x v="0"/>
    <m/>
  </r>
  <r>
    <x v="116"/>
    <s v="Achat billet Brazzaville- Impfondo/P29"/>
    <s v="Transport"/>
    <s v="Investigations"/>
    <x v="188"/>
    <x v="436"/>
    <n v="579.64599999999996"/>
    <s v="P29"/>
    <s v="P29-MA-R8"/>
    <s v="PALF"/>
    <x v="1"/>
    <s v="Congo"/>
    <x v="0"/>
    <x v="0"/>
    <m/>
  </r>
  <r>
    <x v="116"/>
    <s v="Achat billet  Brazzaville - Impfondo/T73"/>
    <s v="Transport"/>
    <s v="Investigations"/>
    <x v="188"/>
    <x v="436"/>
    <n v="579.64599999999996"/>
    <s v="T73"/>
    <s v="T73-MA-R8"/>
    <s v="PALF"/>
    <x v="1"/>
    <s v="Congo"/>
    <x v="0"/>
    <x v="0"/>
    <m/>
  </r>
  <r>
    <x v="116"/>
    <s v="Achat billet  Brazzaville - Ouesso/G12"/>
    <s v="Transport"/>
    <s v="Investigations"/>
    <x v="4"/>
    <x v="416"/>
    <n v="579.64599999999996"/>
    <s v="G12"/>
    <s v="G12-MA-R10"/>
    <s v="PALF"/>
    <x v="1"/>
    <s v="Congo"/>
    <x v="0"/>
    <x v="0"/>
    <m/>
  </r>
  <r>
    <x v="116"/>
    <s v="Achat billet Brazzaville-Impfondo/ Crepin"/>
    <s v="Transport"/>
    <s v="Legal"/>
    <x v="188"/>
    <x v="436"/>
    <n v="579.64599999999996"/>
    <s v="Crépin"/>
    <s v="CR-MA-R1"/>
    <s v="PALF"/>
    <x v="1"/>
    <s v="Congo"/>
    <x v="0"/>
    <x v="0"/>
    <m/>
  </r>
  <r>
    <x v="116"/>
    <s v="Achat billet Brazzaville-Impfondo/Donald-Roméo"/>
    <s v="Transport "/>
    <s v="Legal"/>
    <x v="188"/>
    <x v="436"/>
    <n v="579.64599999999996"/>
    <s v="Donald-Romeo"/>
    <s v="DR-MA-R4"/>
    <s v="PALF"/>
    <x v="1"/>
    <s v="Congo"/>
    <x v="0"/>
    <x v="0"/>
    <m/>
  </r>
  <r>
    <x v="116"/>
    <s v="RAPATRIEME01100 RAO00010812"/>
    <s v="Grant"/>
    <m/>
    <x v="47"/>
    <x v="48"/>
    <n v="560.94248000000005"/>
    <s v="BCI"/>
    <s v="BQ-MA-G1"/>
    <s v="PALF"/>
    <x v="5"/>
    <s v="Congo"/>
    <x v="5"/>
    <x v="3"/>
    <m/>
  </r>
  <r>
    <x v="116"/>
    <s v="credit  teléphonique MTN/PALF/ Deuxième partie du mois de mai 2025/Management"/>
    <s v="Telephone"/>
    <s v="Legal"/>
    <x v="4"/>
    <x v="416"/>
    <n v="579.64599999999996"/>
    <s v="DOVI"/>
    <s v="DH-MA-R3"/>
    <s v="PALF"/>
    <x v="1"/>
    <s v="Congo"/>
    <x v="0"/>
    <x v="0"/>
    <m/>
  </r>
  <r>
    <x v="116"/>
    <s v="CREPIN-CONGO Ration  du 15/05/ au 04/06/2025 à Ouesso et Impfondo"/>
    <s v="Travel Subsistence"/>
    <s v="Legal"/>
    <x v="58"/>
    <x v="410"/>
    <n v="579.64599999999996"/>
    <s v="Crépin"/>
    <s v="CR-MA-D1"/>
    <s v="PALF"/>
    <x v="1"/>
    <s v="Congo"/>
    <x v="0"/>
    <x v="0"/>
    <m/>
  </r>
  <r>
    <x v="116"/>
    <s v="credit  teléphonique MTN/PALF/ Deuxième partie du mois de mai 2025/Legal"/>
    <s v="Telephone"/>
    <s v="Legal"/>
    <x v="31"/>
    <x v="413"/>
    <n v="579.64599999999996"/>
    <s v="Crépin"/>
    <s v="CR-MA-R14"/>
    <s v="PALF"/>
    <x v="1"/>
    <s v="Congo"/>
    <x v="0"/>
    <x v="0"/>
    <m/>
  </r>
  <r>
    <x v="116"/>
    <s v="credit  teléphonique Airtel/PALF/Deuxième  partie du mois de Mail 2025/Legal"/>
    <s v="Telephone"/>
    <s v="Legal"/>
    <x v="31"/>
    <x v="413"/>
    <n v="579.64599999999996"/>
    <s v="Crépin"/>
    <s v="CR-MA-R15"/>
    <s v="PALF"/>
    <x v="1"/>
    <s v="Congo"/>
    <x v="0"/>
    <x v="0"/>
    <m/>
  </r>
  <r>
    <x v="116"/>
    <s v="credit  teléphonique MTN/PALF/ Deuxième partie du mois de mai 2025/Office"/>
    <s v="Telephone"/>
    <s v="Legal"/>
    <x v="4"/>
    <x v="416"/>
    <n v="579.64599999999996"/>
    <s v="Parfaite"/>
    <s v="P-MA-R2"/>
    <s v="PALF"/>
    <x v="1"/>
    <s v="Congo"/>
    <x v="0"/>
    <x v="0"/>
    <m/>
  </r>
  <r>
    <x v="116"/>
    <s v="P29 - CONGO Ration  du 15/05 au 05 /06/2025 à  (21 Nuitées)"/>
    <s v="Travel Subsistence"/>
    <s v="Investigations"/>
    <x v="121"/>
    <x v="437"/>
    <n v="579.64599999999996"/>
    <s v="P29"/>
    <s v="P29-MA-D2"/>
    <s v="PALF"/>
    <x v="1"/>
    <s v="Congo"/>
    <x v="0"/>
    <x v="0"/>
    <m/>
  </r>
  <r>
    <x v="116"/>
    <s v="credit  teléphonique MTN/PALF/ Deuxième partie du mois de mai 2025/Investigation"/>
    <s v="Telephone"/>
    <s v="Investigations"/>
    <x v="4"/>
    <x v="416"/>
    <n v="579.64599999999996"/>
    <s v="P29"/>
    <s v="P29-MA-R21"/>
    <s v="PALF"/>
    <x v="1"/>
    <s v="Congo"/>
    <x v="0"/>
    <x v="0"/>
    <m/>
  </r>
  <r>
    <x v="116"/>
    <s v="credit  teléphonique Airtel/PALF/Deuxième partie du mois de mai 2025/Investigation"/>
    <s v="Telephone"/>
    <s v="Investigations"/>
    <x v="31"/>
    <x v="413"/>
    <n v="579.64599999999996"/>
    <s v="P29"/>
    <s v="P29-MA-R22"/>
    <s v="PALF"/>
    <x v="1"/>
    <s v="Congo"/>
    <x v="0"/>
    <x v="0"/>
    <m/>
  </r>
  <r>
    <x v="116"/>
    <s v="T73-CONGO Ration du 15 au 05 /06/2025 à Impfondo"/>
    <s v="Travel Subsistence"/>
    <s v="Investigations"/>
    <x v="121"/>
    <x v="437"/>
    <n v="579.64599999999996"/>
    <s v="T73"/>
    <s v="T73-MA-D2"/>
    <s v="PALF"/>
    <x v="1"/>
    <s v="Congo"/>
    <x v="0"/>
    <x v="0"/>
    <m/>
  </r>
  <r>
    <x v="116"/>
    <s v="T73 - CONGO Frais d'hotel du 15 au 16/05/2025 à Ouesso (01 Nuitée)"/>
    <s v="Travel Subsistence"/>
    <s v="Investigations"/>
    <x v="64"/>
    <x v="438"/>
    <n v="579.64599999999996"/>
    <s v="T73"/>
    <s v="T73-MA-R9"/>
    <s v="PALF"/>
    <x v="1"/>
    <s v="Congo"/>
    <x v="0"/>
    <x v="0"/>
    <m/>
  </r>
  <r>
    <x v="116"/>
    <s v="credit  teléphonique MTN/PALF/ Deuxième partie du mois de mai 2025/Investigation"/>
    <s v="Telephone"/>
    <s v="Investigations"/>
    <x v="64"/>
    <x v="438"/>
    <n v="579.64599999999996"/>
    <s v="T73"/>
    <s v="T73-MA-R18"/>
    <s v="PALF"/>
    <x v="1"/>
    <s v="Congo"/>
    <x v="0"/>
    <x v="0"/>
    <m/>
  </r>
  <r>
    <x v="116"/>
    <s v="G12-CONGO Rations du 15 au 23/05/2025 à Ouesso, Pokola "/>
    <s v="Travel Subsistence"/>
    <s v="Investigations"/>
    <x v="17"/>
    <x v="439"/>
    <n v="579.64599999999996"/>
    <s v="G12"/>
    <s v="G12-MA-D2"/>
    <s v="PALF"/>
    <x v="1"/>
    <s v="Congo"/>
    <x v="0"/>
    <x v="0"/>
    <m/>
  </r>
  <r>
    <x v="116"/>
    <s v="credit  teléphonique MTN/PALF/ Deuxième partie du mois de mai 2025/Investigation"/>
    <s v="Telephone"/>
    <s v="Investigations"/>
    <x v="31"/>
    <x v="413"/>
    <n v="579.64599999999996"/>
    <s v="G12"/>
    <s v="G12-MA-R20"/>
    <s v="PALF"/>
    <x v="1"/>
    <s v="Congo"/>
    <x v="0"/>
    <x v="0"/>
    <m/>
  </r>
  <r>
    <x v="116"/>
    <s v="credit  teléphonique Airtel/PALF/Deuxième partie du mois de mai 2025/Investigation"/>
    <s v="Telephone"/>
    <s v="Investigations"/>
    <x v="4"/>
    <x v="416"/>
    <n v="579.64599999999996"/>
    <s v="G12"/>
    <s v="G12-MA-R21"/>
    <s v="PALF"/>
    <x v="1"/>
    <s v="Congo"/>
    <x v="0"/>
    <x v="0"/>
    <m/>
  </r>
  <r>
    <x v="116"/>
    <s v="credit  teléphonique MTN/PALF/ Deuxième partie du mois de mai 2025/Legal"/>
    <s v="Telephone"/>
    <s v="Legal"/>
    <x v="31"/>
    <x v="413"/>
    <n v="579.64599999999996"/>
    <s v="Abraham"/>
    <s v="AB-MA-R5"/>
    <s v="PALF"/>
    <x v="1"/>
    <s v="Congo"/>
    <x v="0"/>
    <x v="0"/>
    <m/>
  </r>
  <r>
    <x v="116"/>
    <s v="credit  teléphonique Airtel/PALF/Deuxième  partie du mois de Mail 2025/Legal"/>
    <s v="Telephone"/>
    <s v="Legal"/>
    <x v="31"/>
    <x v="413"/>
    <n v="579.64599999999996"/>
    <s v="Abraham"/>
    <s v="AB-MA-R6"/>
    <s v="PALF"/>
    <x v="1"/>
    <s v="Congo"/>
    <x v="0"/>
    <x v="0"/>
    <m/>
  </r>
  <r>
    <x v="116"/>
    <s v="credit  teléphonique MTN/PALF/ Deuxième partie du mois de mai 2025/Legal"/>
    <s v="Telephone"/>
    <s v="Legal"/>
    <x v="4"/>
    <x v="416"/>
    <n v="579.64599999999996"/>
    <s v="Roderlin"/>
    <s v="RO-MA-R7"/>
    <s v="PALF"/>
    <x v="1"/>
    <s v="Congo"/>
    <x v="0"/>
    <x v="0"/>
    <m/>
  </r>
  <r>
    <x v="116"/>
    <s v="DONALD-ROMEO/CONGO Ration  du  15/05 au 04/06/2025 à Ouesso/ Impfondo"/>
    <s v="Travel Subsistence"/>
    <s v="Legal"/>
    <x v="58"/>
    <x v="410"/>
    <n v="579.64599999999996"/>
    <s v="Donald-Romeo"/>
    <s v="DR-MA-D2"/>
    <s v="PALF"/>
    <x v="1"/>
    <s v="Congo"/>
    <x v="0"/>
    <x v="0"/>
    <m/>
  </r>
  <r>
    <x v="116"/>
    <s v="credit  teléphonique MTN/PALF/ Deuxième partie du mois de mai 2025/Legal"/>
    <s v="Telephone"/>
    <s v="Legal"/>
    <x v="4"/>
    <x v="416"/>
    <n v="579.64599999999996"/>
    <s v="Donald-Romeo"/>
    <s v="DR-MA-R10"/>
    <s v="PALF"/>
    <x v="1"/>
    <s v="Congo"/>
    <x v="0"/>
    <x v="0"/>
    <m/>
  </r>
  <r>
    <x v="116"/>
    <s v="credit  teléphonique MTN/PALF/ Deuxième partie du mois de mai 2025/Legal"/>
    <s v="Telephone"/>
    <s v="Legal"/>
    <x v="4"/>
    <x v="416"/>
    <n v="579.64599999999996"/>
    <s v="Romain"/>
    <s v="RM-MA-R9"/>
    <s v="PALF"/>
    <x v="1"/>
    <s v="Congo"/>
    <x v="0"/>
    <x v="0"/>
    <m/>
  </r>
  <r>
    <x v="117"/>
    <s v=" CREPIN-CONGO Frais d'hotel  à Ouesso du 15 au 16/05/2025 (01 Nuitée)"/>
    <s v="Travel Subsistence"/>
    <s v="Legal"/>
    <x v="64"/>
    <x v="438"/>
    <n v="579.64599999999996"/>
    <s v="Crépin"/>
    <s v="CR-MA-R2"/>
    <s v="PALF"/>
    <x v="1"/>
    <s v="Congo"/>
    <x v="0"/>
    <x v="0"/>
    <m/>
  </r>
  <r>
    <x v="117"/>
    <s v="P29 -CONGO Frais d'hotel du 15 au 16/05/2025 à ouesso"/>
    <s v="Travel Subsistence"/>
    <s v="Investigations"/>
    <x v="64"/>
    <x v="438"/>
    <n v="579.64599999999996"/>
    <s v="P29"/>
    <s v="P29-MA-R9"/>
    <s v="PALF"/>
    <x v="1"/>
    <s v="Congo"/>
    <x v="0"/>
    <x v="0"/>
    <m/>
  </r>
  <r>
    <x v="117"/>
    <s v="Frais d'hôtel/  01 Nuitée du 15 au 16/05/2025 à Ouesso (Hôtel  Divine)"/>
    <s v="Travel Subsistence"/>
    <s v="Legal"/>
    <x v="64"/>
    <x v="438"/>
    <n v="579.64599999999996"/>
    <s v="Donald-Romeo"/>
    <s v="DR-MA-R5"/>
    <s v="PALF"/>
    <x v="1"/>
    <s v="Congo"/>
    <x v="0"/>
    <x v="0"/>
    <m/>
  </r>
  <r>
    <x v="118"/>
    <s v="T73 - CONGO Frais d'hotel du 17 au 20/05/2025  à Impfondo (03 nuitée)"/>
    <s v="Travel Subsistence"/>
    <s v="Investigations"/>
    <x v="22"/>
    <x v="421"/>
    <n v="579.64599999999996"/>
    <s v="T73"/>
    <s v="T73-MA-R10"/>
    <s v="PALF"/>
    <x v="1"/>
    <s v="Congo"/>
    <x v="0"/>
    <x v="0"/>
    <m/>
  </r>
  <r>
    <x v="118"/>
    <s v="G12-CONGO Frais d'hôtel du 15 /05/2025 au 19/05/2025 à Ouesso (04 Nuitées)"/>
    <s v="Travel Subsistence"/>
    <s v="Investigations"/>
    <x v="23"/>
    <x v="440"/>
    <n v="579.64599999999996"/>
    <s v="G12"/>
    <s v="G12-MA-R11"/>
    <s v="PALF"/>
    <x v="1"/>
    <s v="Congo"/>
    <x v="0"/>
    <x v="0"/>
    <m/>
  </r>
  <r>
    <x v="118"/>
    <s v="Achat billet  Ouesso - Pokola/ G12"/>
    <s v="Transport"/>
    <s v="Investigations"/>
    <x v="12"/>
    <x v="427"/>
    <n v="579.64599999999996"/>
    <s v="G12"/>
    <s v="G12-MA-R12"/>
    <s v="PALF"/>
    <x v="1"/>
    <s v="Congo"/>
    <x v="0"/>
    <x v="0"/>
    <m/>
  </r>
  <r>
    <x v="118"/>
    <s v="Frais de tansfert d'argent à P29, T73, G12, Crépin et Donald roméo"/>
    <s v="Transfer Fees"/>
    <s v="Office"/>
    <x v="233"/>
    <x v="441"/>
    <n v="579.64599999999996"/>
    <s v="Abraham"/>
    <s v="CA-MA-R10"/>
    <s v="PALF"/>
    <x v="1"/>
    <s v="Congo"/>
    <x v="0"/>
    <x v="0"/>
    <m/>
  </r>
  <r>
    <x v="118"/>
    <s v="Fabricarion de cachet numériquebureau PALF"/>
    <s v="Equipment"/>
    <s v="Office"/>
    <x v="92"/>
    <x v="442"/>
    <n v="579.64599999999996"/>
    <s v="Romain"/>
    <s v="CA-MA-R11"/>
    <s v="PALF"/>
    <x v="1"/>
    <s v="Congo"/>
    <x v="0"/>
    <x v="0"/>
    <m/>
  </r>
  <r>
    <x v="119"/>
    <s v="Achat billet Impfondo-Epena/P29"/>
    <s v="Transport"/>
    <s v="Investigations"/>
    <x v="4"/>
    <x v="416"/>
    <n v="579.64599999999996"/>
    <s v="P29"/>
    <s v="P29-MA-R10"/>
    <s v="PALF"/>
    <x v="1"/>
    <s v="Congo"/>
    <x v="0"/>
    <x v="0"/>
    <m/>
  </r>
  <r>
    <x v="119"/>
    <s v="Achat billet Epena-Impfondo/P29"/>
    <s v="Transport"/>
    <s v="Investigations"/>
    <x v="4"/>
    <x v="416"/>
    <n v="579.64599999999996"/>
    <s v="P29"/>
    <s v="P29-MA-R11"/>
    <s v="PALF"/>
    <x v="1"/>
    <s v="Congo"/>
    <x v="0"/>
    <x v="0"/>
    <m/>
  </r>
  <r>
    <x v="119"/>
    <s v="Achat billet  Impfondo - Dangou/T73"/>
    <s v="Transport"/>
    <s v="Investigations"/>
    <x v="4"/>
    <x v="416"/>
    <n v="579.64599999999996"/>
    <s v="T73"/>
    <s v="T73-MA-R11"/>
    <s v="PALF"/>
    <x v="1"/>
    <s v="Congo"/>
    <x v="0"/>
    <x v="0"/>
    <m/>
  </r>
  <r>
    <x v="119"/>
    <s v="Achat billet Brazzaville - Makoua/ IT87"/>
    <s v="Transport"/>
    <s v="Investigations"/>
    <x v="94"/>
    <x v="443"/>
    <n v="579.64599999999996"/>
    <s v="IT87"/>
    <s v="IT87-MA-R1"/>
    <s v="PALF"/>
    <x v="1"/>
    <s v="Congo"/>
    <x v="0"/>
    <x v="0"/>
    <m/>
  </r>
  <r>
    <x v="119"/>
    <s v="credit  teléphonique du mois de Mai 2025/Investigation"/>
    <s v="Telephone"/>
    <s v="Investigations"/>
    <x v="4"/>
    <x v="444"/>
    <n v="579.64599999999996"/>
    <s v="IT87"/>
    <s v="IT87-MA-R10"/>
    <s v="PALF"/>
    <x v="1"/>
    <s v="Congo"/>
    <x v="0"/>
    <x v="0"/>
    <m/>
  </r>
  <r>
    <x v="119"/>
    <s v="Achat billet Brazzaville-Dolisie/Abraham"/>
    <s v="Transport"/>
    <s v="Legal"/>
    <x v="4"/>
    <x v="444"/>
    <n v="579.64599999999996"/>
    <s v="Abraham"/>
    <s v="AB-MA-R1"/>
    <s v="PALF"/>
    <x v="1"/>
    <s v="Congo"/>
    <x v="0"/>
    <x v="0"/>
    <m/>
  </r>
  <r>
    <x v="119"/>
    <s v="Frais de transport mission Maitre Alain à Dolisie du 21 au 23/05/2025"/>
    <s v="Transport"/>
    <s v="Legal"/>
    <x v="127"/>
    <x v="445"/>
    <n v="579.64599999999996"/>
    <s v="Abraham"/>
    <s v="CA-MA-R12"/>
    <s v="PALF"/>
    <x v="1"/>
    <s v="Congo"/>
    <x v="0"/>
    <x v="0"/>
    <m/>
  </r>
  <r>
    <x v="119"/>
    <s v="Ration et frais d'hotel mission maitre Alain à Dolisie du 21 au 23/05/2025"/>
    <s v="Travel Subsistence"/>
    <s v="Legal"/>
    <x v="30"/>
    <x v="446"/>
    <n v="579.64599999999996"/>
    <s v="Abraham"/>
    <s v="CA-MA-R13"/>
    <s v="PALF"/>
    <x v="1"/>
    <s v="Congo"/>
    <x v="0"/>
    <x v="0"/>
    <m/>
  </r>
  <r>
    <x v="119"/>
    <s v="Achat billet Brazzaville-Loudima/ Roderlin"/>
    <s v="Transport"/>
    <s v="Legal"/>
    <x v="37"/>
    <x v="447"/>
    <n v="579.64599999999996"/>
    <s v="Roderlin"/>
    <s v="RO-MA-R1"/>
    <s v="PALF"/>
    <x v="1"/>
    <s v="Congo"/>
    <x v="0"/>
    <x v="0"/>
    <m/>
  </r>
  <r>
    <x v="119"/>
    <s v="Bonus du mois d'Avril 2025/Evariste"/>
    <s v="Personnel"/>
    <s v="Media"/>
    <x v="44"/>
    <x v="448"/>
    <n v="560.94248000000005"/>
    <s v="Evariste"/>
    <s v="CA-MA-D8"/>
    <s v="PALF"/>
    <x v="5"/>
    <s v="Congo"/>
    <x v="0"/>
    <x v="0"/>
    <m/>
  </r>
  <r>
    <x v="119"/>
    <s v="credit  teléphonique  du mois de mai 2025/Media"/>
    <s v="Telephone"/>
    <s v="Media"/>
    <x v="4"/>
    <x v="444"/>
    <n v="579.64599999999996"/>
    <s v="Evariste"/>
    <s v="EV-MA-R5"/>
    <s v="PALF"/>
    <x v="1"/>
    <s v="Congo"/>
    <x v="0"/>
    <x v="0"/>
    <m/>
  </r>
  <r>
    <x v="119"/>
    <s v="Achat billet Brazzaville-Owando/ Romain"/>
    <s v="Transport"/>
    <s v="Legal"/>
    <x v="12"/>
    <x v="449"/>
    <n v="579.64599999999996"/>
    <s v="Romain"/>
    <s v="RM-MA-R5"/>
    <s v="PALF"/>
    <x v="1"/>
    <s v="Congo"/>
    <x v="0"/>
    <x v="0"/>
    <m/>
  </r>
  <r>
    <x v="120"/>
    <s v="Achat de 04 power Bank 20000mAh"/>
    <s v="Equipment"/>
    <s v="Office"/>
    <x v="17"/>
    <x v="450"/>
    <n v="579.64599999999996"/>
    <s v="Parfaite"/>
    <s v="CA-MA-R14"/>
    <s v="PALF"/>
    <x v="1"/>
    <s v="Congo"/>
    <x v="0"/>
    <x v="0"/>
    <m/>
  </r>
  <r>
    <x v="120"/>
    <s v="Cumul frais de trust building du mois de Mai 2025/T73"/>
    <s v="Trust Building"/>
    <s v="Investigations"/>
    <x v="234"/>
    <x v="451"/>
    <n v="579.64599999999996"/>
    <s v="T73"/>
    <s v="T73-MA-D3"/>
    <s v="PALF"/>
    <x v="1"/>
    <s v="Congo"/>
    <x v="0"/>
    <x v="0"/>
    <m/>
  </r>
  <r>
    <x v="120"/>
    <s v="IT87-CONGO Ration du 21 au 29/05/2025 à Makoua, kelle, Etoumbi"/>
    <s v="Travel Subsistence"/>
    <s v="Investigations"/>
    <x v="17"/>
    <x v="450"/>
    <n v="579.64599999999996"/>
    <s v="IT87"/>
    <s v="IT87-MA-D1"/>
    <s v="PALF"/>
    <x v="1"/>
    <s v="Congo"/>
    <x v="0"/>
    <x v="0"/>
    <m/>
  </r>
  <r>
    <x v="120"/>
    <s v="G12-CONGO Frais d'hôtel du 19/05/2025 au 21/05/2025 à Pokola (02 Nuitées)"/>
    <s v="Travel Subsistence"/>
    <s v="Investigations"/>
    <x v="44"/>
    <x v="448"/>
    <n v="579.64599999999996"/>
    <s v="G12"/>
    <s v="G12-MA-R13"/>
    <s v="PALF"/>
    <x v="1"/>
    <s v="Congo"/>
    <x v="0"/>
    <x v="0"/>
    <m/>
  </r>
  <r>
    <x v="120"/>
    <s v="Achat billet   Pokola - Ouesso/G12"/>
    <s v="Transport"/>
    <s v="Investigations"/>
    <x v="12"/>
    <x v="449"/>
    <n v="579.64599999999996"/>
    <s v="G12"/>
    <s v="G12-MA-R14"/>
    <s v="PALF"/>
    <x v="1"/>
    <s v="Congo"/>
    <x v="0"/>
    <x v="0"/>
    <m/>
  </r>
  <r>
    <x v="120"/>
    <s v="ABRAHAM - CONGO Ration du 21 au 23/05/2025 à Dolisie (02 Nuitées)"/>
    <s v="Travel Subsistence"/>
    <s v="Legal"/>
    <x v="0"/>
    <x v="452"/>
    <n v="579.64599999999996"/>
    <s v="Abraham"/>
    <s v="AB-MA-D1"/>
    <s v="PALF"/>
    <x v="1"/>
    <s v="Congo"/>
    <x v="0"/>
    <x v="0"/>
    <m/>
  </r>
  <r>
    <x v="120"/>
    <s v="Achat billet Loudima-Sibiti/ Roderlin"/>
    <s v="Transport"/>
    <s v="Legal"/>
    <x v="101"/>
    <x v="453"/>
    <n v="579.64599999999996"/>
    <s v="Roderlin"/>
    <s v="RO-MA-R2"/>
    <s v="PALF"/>
    <x v="1"/>
    <s v="Congo"/>
    <x v="0"/>
    <x v="0"/>
    <m/>
  </r>
  <r>
    <x v="120"/>
    <s v="RODERLIN-CONGO Ration du 21 au 23/05/2025 à Sibiti (02 nuitées)"/>
    <s v="Travel Subsistence"/>
    <s v="Legal"/>
    <x v="0"/>
    <x v="452"/>
    <n v="579.64599999999996"/>
    <s v="Roderlin"/>
    <s v="RO-MA-D1"/>
    <s v="PALF"/>
    <x v="1"/>
    <s v="Congo"/>
    <x v="0"/>
    <x v="0"/>
    <m/>
  </r>
  <r>
    <x v="120"/>
    <s v="Achat Billet Brazzaville-Impfondo/ Evariste"/>
    <s v="Transport"/>
    <s v="Media"/>
    <x v="188"/>
    <x v="454"/>
    <n v="579.64599999999996"/>
    <s v="Evariste"/>
    <s v="EV-MA-R1"/>
    <s v="PALF"/>
    <x v="1"/>
    <s v="Congo"/>
    <x v="0"/>
    <x v="0"/>
    <m/>
  </r>
  <r>
    <x v="120"/>
    <s v="ROMAIN-CONGO  Ration du 21 au 23/05/2025 à Owando"/>
    <s v="Travel Subsistence"/>
    <s v="Legal"/>
    <x v="0"/>
    <x v="452"/>
    <n v="579.64599999999996"/>
    <s v="Romain"/>
    <s v="RM-MA-D2"/>
    <s v="PALF"/>
    <x v="1"/>
    <s v="Congo"/>
    <x v="0"/>
    <x v="0"/>
    <m/>
  </r>
  <r>
    <x v="121"/>
    <s v="T73 - CONGO Frais d'hotel du 20 au 22/05/2025 à Dangou (02 Nuitées)"/>
    <s v="Travel Subsistence"/>
    <s v="Investigations"/>
    <x v="44"/>
    <x v="448"/>
    <n v="579.64599999999996"/>
    <s v="T73"/>
    <s v="T73-MA-R12"/>
    <s v="PALF"/>
    <x v="1"/>
    <s v="Congo"/>
    <x v="0"/>
    <x v="0"/>
    <m/>
  </r>
  <r>
    <x v="121"/>
    <s v="Reglement frais de réparation d'ordunateur"/>
    <s v="Services"/>
    <s v="Office"/>
    <x v="4"/>
    <x v="444"/>
    <n v="579.64599999999996"/>
    <s v="Parfaite"/>
    <s v="CA-MA-R15"/>
    <s v="PALF"/>
    <x v="1"/>
    <s v="Congo"/>
    <x v="0"/>
    <x v="0"/>
    <m/>
  </r>
  <r>
    <x v="121"/>
    <s v="Achat billet Dangou - impfondo/T73"/>
    <s v="Transport"/>
    <s v="Investigations"/>
    <x v="4"/>
    <x v="444"/>
    <n v="579.64599999999996"/>
    <s v="T73"/>
    <s v="T73-MA-R13"/>
    <s v="PALF"/>
    <x v="1"/>
    <s v="Congo"/>
    <x v="0"/>
    <x v="0"/>
    <m/>
  </r>
  <r>
    <x v="121"/>
    <s v="IT87-CONGO Frais d'hôtel du 21 au 22/05/2025 à Makoua (01 nuitée)"/>
    <s v="Travel Subsistence"/>
    <s v="Investigations"/>
    <x v="64"/>
    <x v="455"/>
    <n v="579.64599999999996"/>
    <s v="IT87"/>
    <s v="IT87-MA-R2"/>
    <s v="PALF"/>
    <x v="1"/>
    <s v="Congo"/>
    <x v="0"/>
    <x v="0"/>
    <m/>
  </r>
  <r>
    <x v="121"/>
    <s v="Achat billet Makoua - Kelle/ IT87"/>
    <s v="Transport"/>
    <s v="Investigations"/>
    <x v="37"/>
    <x v="447"/>
    <n v="579.64599999999996"/>
    <s v="IT87"/>
    <s v="IT87-MA-R3"/>
    <s v="PALF"/>
    <x v="1"/>
    <s v="Congo"/>
    <x v="0"/>
    <x v="0"/>
    <m/>
  </r>
  <r>
    <x v="121"/>
    <s v="Achat billet  Ouesso - Mokeko/G12"/>
    <s v="Transport"/>
    <s v="Investigations"/>
    <x v="67"/>
    <x v="456"/>
    <n v="579.64599999999996"/>
    <s v="G12"/>
    <s v="G12-MA-R15"/>
    <s v="PALF"/>
    <x v="1"/>
    <s v="Congo"/>
    <x v="0"/>
    <x v="0"/>
    <m/>
  </r>
  <r>
    <x v="121"/>
    <s v="achat billet  Mokeko - Ouesso/G12"/>
    <s v="Transport"/>
    <s v="Investigations"/>
    <x v="67"/>
    <x v="456"/>
    <n v="579.64599999999996"/>
    <s v="G12"/>
    <s v="G12-MA-R16"/>
    <s v="PALF"/>
    <x v="1"/>
    <s v="Congo"/>
    <x v="0"/>
    <x v="0"/>
    <m/>
  </r>
  <r>
    <x v="121"/>
    <s v="Achat billet Ouesso - Brazzaville/G12"/>
    <s v="Transport"/>
    <s v="Investigations"/>
    <x v="4"/>
    <x v="444"/>
    <n v="579.64599999999996"/>
    <s v="G12"/>
    <s v="G12-MA-R17"/>
    <s v="PALF"/>
    <x v="1"/>
    <s v="Congo"/>
    <x v="0"/>
    <x v="0"/>
    <m/>
  </r>
  <r>
    <x v="121"/>
    <s v="Cumul frais de Jail visits du mois de Mai 2025/ Abraham"/>
    <s v="Jail visit"/>
    <s v="Legal"/>
    <x v="217"/>
    <x v="457"/>
    <n v="579.64599999999996"/>
    <s v="Abraham"/>
    <s v="AB-MA-D2"/>
    <s v="PALF"/>
    <x v="1"/>
    <s v="Congo"/>
    <x v="0"/>
    <x v="0"/>
    <m/>
  </r>
  <r>
    <x v="121"/>
    <s v="Cumul Frais de Jail visits du mois de Mai 2025/Roderlin"/>
    <s v="Jail visit"/>
    <s v="Legal"/>
    <x v="94"/>
    <x v="458"/>
    <n v="579.64599999999996"/>
    <s v="Roderlin"/>
    <s v="RO-MA-D2"/>
    <s v="PALF"/>
    <x v="1"/>
    <s v="Congo"/>
    <x v="0"/>
    <x v="0"/>
    <m/>
  </r>
  <r>
    <x v="121"/>
    <s v="EVARISTE-CONGO Ration du 22 mai au 04 juin 2025 à d'Impfondo ( 13 nuitées )"/>
    <s v="Travel Subsistence"/>
    <s v="Media"/>
    <x v="114"/>
    <x v="459"/>
    <n v="579.64599999999996"/>
    <s v="Evariste"/>
    <s v="EV-MA-D1"/>
    <s v="PALF"/>
    <x v="1"/>
    <s v="Congo"/>
    <x v="0"/>
    <x v="0"/>
    <m/>
  </r>
  <r>
    <x v="121"/>
    <s v="Achat billet  Owando-Brazzaville/ Romain"/>
    <s v="Transport"/>
    <s v="Legal"/>
    <x v="12"/>
    <x v="449"/>
    <n v="579.64599999999996"/>
    <s v="Romain"/>
    <s v="RM-MA-R6"/>
    <s v="PALF"/>
    <x v="1"/>
    <s v="Congo"/>
    <x v="0"/>
    <x v="0"/>
    <m/>
  </r>
  <r>
    <x v="121"/>
    <s v="cumul frais de Jail visits du mois de Mai 2025/Romain"/>
    <s v="Jail visit"/>
    <s v="Legal"/>
    <x v="235"/>
    <x v="460"/>
    <n v="579.64599999999996"/>
    <s v="Romain"/>
    <s v="RM-MA-D3"/>
    <s v="PALF"/>
    <x v="1"/>
    <s v="Congo"/>
    <x v="0"/>
    <x v="0"/>
    <m/>
  </r>
  <r>
    <x v="122"/>
    <s v="Achat billet Dolisie-Brazzaville /Abraham"/>
    <s v="Transport"/>
    <s v="Legal"/>
    <x v="4"/>
    <x v="444"/>
    <n v="579.64599999999996"/>
    <s v="Abraham"/>
    <s v="AB-MA-R2"/>
    <s v="PALF"/>
    <x v="1"/>
    <s v="Congo"/>
    <x v="0"/>
    <x v="0"/>
    <m/>
  </r>
  <r>
    <x v="122"/>
    <s v="Frais de tansfert d'argent à P29, T73, G12, Crépin et Donald roméo"/>
    <s v="Transfer Fees"/>
    <s v="Office"/>
    <x v="236"/>
    <x v="461"/>
    <n v="579.64599999999996"/>
    <s v="Parfaite"/>
    <s v="CA-MA-R16"/>
    <s v="PALF"/>
    <x v="1"/>
    <s v="Congo"/>
    <x v="0"/>
    <x v="0"/>
    <m/>
  </r>
  <r>
    <x v="122"/>
    <s v="Frais de tansfert d'argent à IT87"/>
    <s v="Transfer Fees"/>
    <s v="Office"/>
    <x v="237"/>
    <x v="462"/>
    <n v="579.64599999999996"/>
    <s v="Parfaite"/>
    <s v="CA-MA-R17"/>
    <s v="PALF"/>
    <x v="1"/>
    <s v="Congo"/>
    <x v="0"/>
    <x v="0"/>
    <m/>
  </r>
  <r>
    <x v="122"/>
    <s v="Achat billet Impfondo-Epena/P29"/>
    <s v="Transport"/>
    <s v="Investigations"/>
    <x v="4"/>
    <x v="444"/>
    <n v="579.64599999999996"/>
    <s v="P29"/>
    <s v="P29-MA-R12"/>
    <s v="PALF"/>
    <x v="1"/>
    <s v="Congo"/>
    <x v="0"/>
    <x v="0"/>
    <m/>
  </r>
  <r>
    <x v="122"/>
    <s v="Achat billet Epena-Impfondo/P29"/>
    <s v="Transport"/>
    <s v="Investigations"/>
    <x v="4"/>
    <x v="444"/>
    <n v="579.64599999999996"/>
    <s v="P29"/>
    <s v="P29-MA-R13"/>
    <s v="PALF"/>
    <x v="1"/>
    <s v="Congo"/>
    <x v="0"/>
    <x v="0"/>
    <m/>
  </r>
  <r>
    <x v="122"/>
    <s v="Achat billet Impfondo - Epena/T73"/>
    <s v="Transport"/>
    <s v="Investigations"/>
    <x v="4"/>
    <x v="444"/>
    <n v="579.64599999999996"/>
    <s v="T73"/>
    <s v="T73-MA-R14"/>
    <s v="PALF"/>
    <x v="1"/>
    <s v="Congo"/>
    <x v="0"/>
    <x v="0"/>
    <m/>
  </r>
  <r>
    <x v="122"/>
    <s v="Achat billet Epena - Impfondo/T73"/>
    <s v="Transport"/>
    <s v="Investigations"/>
    <x v="4"/>
    <x v="444"/>
    <n v="579.64599999999996"/>
    <s v="T73"/>
    <s v="T73-MA-R15"/>
    <s v="PALF"/>
    <x v="1"/>
    <s v="Congo"/>
    <x v="0"/>
    <x v="0"/>
    <m/>
  </r>
  <r>
    <x v="122"/>
    <s v="G12-CONGO Frais d'hôtel du 21 /05/2025 au 23/05/2025 à Ouesso (02 Nuitées)"/>
    <s v="Travel Subsistence"/>
    <s v="Investigations"/>
    <x v="44"/>
    <x v="448"/>
    <n v="579.64599999999996"/>
    <s v="G12"/>
    <s v="G12-MA-R18"/>
    <s v="PALF"/>
    <x v="1"/>
    <s v="Congo"/>
    <x v="0"/>
    <x v="0"/>
    <m/>
  </r>
  <r>
    <x v="122"/>
    <s v="ABRAHAM - CONGO frais d'Hôtel  du 21 au 23/05/2025 à Dolisie (02 Nuitées)"/>
    <s v="Travel Subsistence"/>
    <s v="Legal"/>
    <x v="44"/>
    <x v="448"/>
    <n v="579.64599999999996"/>
    <s v="Abraham"/>
    <s v="AB-MA-R3"/>
    <s v="PALF"/>
    <x v="1"/>
    <s v="Congo"/>
    <x v="0"/>
    <x v="0"/>
    <m/>
  </r>
  <r>
    <x v="122"/>
    <s v="RODERLIN-CONGO frais d'hôtel du 21 au 23/05/2025 à Sibiti (02 nuitées)"/>
    <s v="Travel Subsistence"/>
    <s v="Legal"/>
    <x v="44"/>
    <x v="448"/>
    <n v="579.64599999999996"/>
    <s v="Roderlin"/>
    <s v="RO-MA-R3"/>
    <s v="PALF"/>
    <x v="1"/>
    <s v="Congo"/>
    <x v="0"/>
    <x v="0"/>
    <m/>
  </r>
  <r>
    <x v="122"/>
    <s v="Achat billet Sibiti-Nkayi/ Roderlin"/>
    <s v="Transport"/>
    <s v="Legal"/>
    <x v="31"/>
    <x v="463"/>
    <n v="579.64599999999996"/>
    <s v="Roderlin"/>
    <s v="RO-MA-R4"/>
    <s v="PALF"/>
    <x v="1"/>
    <s v="Congo"/>
    <x v="0"/>
    <x v="0"/>
    <m/>
  </r>
  <r>
    <x v="122"/>
    <s v="Achat billet Nkayi-Brazzaville/ Roderlin"/>
    <s v="Transport"/>
    <s v="Legal"/>
    <x v="12"/>
    <x v="449"/>
    <n v="579.64599999999996"/>
    <s v="Roderlin"/>
    <s v="RO-MA-R5"/>
    <s v="PALF"/>
    <x v="1"/>
    <s v="Congo"/>
    <x v="0"/>
    <x v="0"/>
    <m/>
  </r>
  <r>
    <x v="122"/>
    <s v="EVARISTE-CONGO Frais de l'hôtel à Ouesso du 22 au 23 mai 2025 (Une nuitée)"/>
    <s v="Travel Subsistence"/>
    <s v="Media"/>
    <x v="64"/>
    <x v="455"/>
    <n v="579.64599999999996"/>
    <s v="Evariste"/>
    <s v="EV-MA-R2"/>
    <s v="PALF"/>
    <x v="1"/>
    <s v="Congo"/>
    <x v="0"/>
    <x v="0"/>
    <m/>
  </r>
  <r>
    <x v="122"/>
    <s v="ROMAIN-CONGO Frais d'hotel du 21 au 23 Mai 2025 à Owando (02 Nuitées)"/>
    <s v="Travel Subsistence"/>
    <s v="Legal"/>
    <x v="44"/>
    <x v="448"/>
    <n v="579.64599999999996"/>
    <s v="Romain"/>
    <s v="RM-MA-R7"/>
    <s v="PALF"/>
    <x v="1"/>
    <s v="Congo"/>
    <x v="0"/>
    <x v="0"/>
    <m/>
  </r>
  <r>
    <x v="123"/>
    <s v="EVARISTE-CONGO Frais  d'hôtel  du 23 au 24 mai 2025 à Enyellé (Une nuitée) "/>
    <s v="Travel Subsistence"/>
    <s v="Media"/>
    <x v="64"/>
    <x v="455"/>
    <n v="579.64599999999996"/>
    <s v="Evariste"/>
    <s v="EV-MA-R3"/>
    <s v="PALF"/>
    <x v="1"/>
    <s v="Congo"/>
    <x v="0"/>
    <x v="0"/>
    <m/>
  </r>
  <r>
    <x v="124"/>
    <s v="CREPIN-CONGO Frais d'hôtel  du 16 au 26/05/2025 à Impfondo (10 Nuites)/Crepin"/>
    <s v="Travel Subsistence"/>
    <s v="Operations"/>
    <x v="11"/>
    <x v="464"/>
    <n v="579.64599999999996"/>
    <s v="Crépin"/>
    <s v="CR-MA-R3"/>
    <s v="PALF"/>
    <x v="1"/>
    <s v="Congo"/>
    <x v="0"/>
    <x v="0"/>
    <m/>
  </r>
  <r>
    <x v="125"/>
    <s v="Paiement salaire du mois de Mai 2025/Homéfa DOVI/3654869"/>
    <s v="Personnel"/>
    <s v="Management"/>
    <x v="57"/>
    <x v="465"/>
    <n v="560.94248000000005"/>
    <s v="BCI"/>
    <s v="BQ-MA-R3"/>
    <s v="PALF"/>
    <x v="5"/>
    <s v="Congo"/>
    <x v="0"/>
    <x v="0"/>
    <m/>
  </r>
  <r>
    <x v="125"/>
    <s v="Paiement salaire du mois de Mai 2025/BAVOUMINA NZOUSSI Dina Parfaite/365873"/>
    <s v="Personnel"/>
    <s v="Office"/>
    <x v="96"/>
    <x v="466"/>
    <n v="560.94248000000005"/>
    <s v="BCI"/>
    <s v="BQ-MA-R4"/>
    <s v="PALF"/>
    <x v="5"/>
    <s v="Congo"/>
    <x v="0"/>
    <x v="0"/>
    <m/>
  </r>
  <r>
    <x v="125"/>
    <s v="Paiement salaire du mois de Mai 2025/FOUMBA Roderlin/3654872"/>
    <s v="Personnel"/>
    <s v="Legal"/>
    <x v="58"/>
    <x v="467"/>
    <n v="560.94248000000005"/>
    <s v="BCI"/>
    <s v="BQ-MA-R5"/>
    <s v="PALF"/>
    <x v="5"/>
    <s v="Congo"/>
    <x v="0"/>
    <x v="0"/>
    <m/>
  </r>
  <r>
    <x v="125"/>
    <s v="Paiement salaire du mois de Mai 2025/BOUNGOU MAKOSSO Abraham/3654870"/>
    <s v="Personnel"/>
    <s v="Legal"/>
    <x v="58"/>
    <x v="467"/>
    <n v="560.94248000000005"/>
    <s v="BCI"/>
    <s v="BQ-MA-R6"/>
    <s v="PALF"/>
    <x v="5"/>
    <s v="Congo"/>
    <x v="0"/>
    <x v="0"/>
    <m/>
  </r>
  <r>
    <x v="125"/>
    <s v="Paiement salaire du mois de Mai 2025/LOUNDOU JeanRomain/3654871"/>
    <s v="Personnel"/>
    <s v="Legal"/>
    <x v="58"/>
    <x v="467"/>
    <n v="560.94248000000005"/>
    <s v="BCI"/>
    <s v="BQ-MA-R7"/>
    <s v="PALF"/>
    <x v="5"/>
    <s v="Congo"/>
    <x v="0"/>
    <x v="0"/>
    <m/>
  </r>
  <r>
    <x v="125"/>
    <s v="Paiement salaire du mois de Mai 2025/Crepin IBOUILI-IBOUILI"/>
    <s v="Personnel"/>
    <s v="Legal"/>
    <x v="59"/>
    <x v="468"/>
    <n v="560.94248000000005"/>
    <s v="BCI"/>
    <s v="BQ-MA-R8"/>
    <s v="PALF"/>
    <x v="5"/>
    <s v="Congo"/>
    <x v="0"/>
    <x v="0"/>
    <m/>
  </r>
  <r>
    <x v="125"/>
    <s v="Paiement salaire du mois de  Mai 2025/Evariste LELOUSSI"/>
    <s v="Personnel"/>
    <s v="Media"/>
    <x v="238"/>
    <x v="469"/>
    <n v="560.94248000000005"/>
    <s v="BCI"/>
    <s v="BQ-MA-R9"/>
    <s v="PALF"/>
    <x v="5"/>
    <s v="Congo"/>
    <x v="0"/>
    <x v="0"/>
    <m/>
  </r>
  <r>
    <x v="125"/>
    <s v="Paiement salaire du mois de Mai 2025/PINDI BINGA Donald- Roméo"/>
    <s v="Personnel"/>
    <s v="Legal"/>
    <x v="8"/>
    <x v="470"/>
    <n v="560.94248000000005"/>
    <s v="BCI"/>
    <s v="BQ-MA-R10"/>
    <s v="PALF"/>
    <x v="5"/>
    <s v="Congo"/>
    <x v="0"/>
    <x v="0"/>
    <m/>
  </r>
  <r>
    <x v="125"/>
    <s v="Achat encre HP Laser noir et couleur 216A"/>
    <s v="Office Materials"/>
    <s v="Office"/>
    <x v="8"/>
    <x v="470"/>
    <n v="579.64599999999996"/>
    <s v="Parfaite"/>
    <s v="CA-MA-R19"/>
    <s v="PALF"/>
    <x v="1"/>
    <s v="Congo"/>
    <x v="0"/>
    <x v="0"/>
    <m/>
  </r>
  <r>
    <x v="125"/>
    <s v="P29 -CONGO Frais d'hotel du 16 au 26/05/2025 à impfondo"/>
    <s v="Travel Subsistence"/>
    <s v="Investigations"/>
    <x v="11"/>
    <x v="464"/>
    <n v="579.64599999999996"/>
    <s v="P29"/>
    <s v="P29-MA-R14"/>
    <s v="PALF"/>
    <x v="1"/>
    <s v="Congo"/>
    <x v="0"/>
    <x v="0"/>
    <m/>
  </r>
  <r>
    <x v="125"/>
    <s v="Cumul frais de transport local du mois de Mai 2025/P29"/>
    <s v="Transport"/>
    <s v="Investigations"/>
    <x v="239"/>
    <x v="471"/>
    <n v="579.64599999999996"/>
    <s v="P29"/>
    <s v="P29-MA-D3"/>
    <s v="PALF"/>
    <x v="1"/>
    <s v="Congo"/>
    <x v="0"/>
    <x v="0"/>
    <m/>
  </r>
  <r>
    <x v="125"/>
    <s v="IT87-CONGO Frais d'hôtel  du 22 au 26/05/2025 à Kelle (04 nuitées)"/>
    <s v="Travel Subsistence"/>
    <s v="Investigations"/>
    <x v="23"/>
    <x v="472"/>
    <n v="579.64599999999996"/>
    <s v="IT87"/>
    <s v="IT87-MA-R4"/>
    <s v="PALF"/>
    <x v="1"/>
    <s v="Congo"/>
    <x v="0"/>
    <x v="0"/>
    <m/>
  </r>
  <r>
    <x v="125"/>
    <s v="Achat billet Kelle - Etoumbi/ IT87"/>
    <s v="Transport"/>
    <s v="Investigations"/>
    <x v="31"/>
    <x v="463"/>
    <n v="579.64599999999996"/>
    <s v="IT87"/>
    <s v="IT87-MA-R5"/>
    <s v="PALF"/>
    <x v="1"/>
    <s v="Congo"/>
    <x v="0"/>
    <x v="0"/>
    <m/>
  </r>
  <r>
    <x v="125"/>
    <s v="Cumul frais de trust building du mois de Mai 2025/ IT87"/>
    <s v="Trust Building"/>
    <s v="Investigations"/>
    <x v="45"/>
    <x v="473"/>
    <n v="579.64599999999996"/>
    <s v="IT87"/>
    <s v="IT87-MA-D2"/>
    <s v="PALF"/>
    <x v="1"/>
    <s v="Congo"/>
    <x v="0"/>
    <x v="0"/>
    <m/>
  </r>
  <r>
    <x v="125"/>
    <s v="Frais de tansfert d'argent à Evariste et  P29 "/>
    <s v="Transfer Fees"/>
    <s v="Office"/>
    <x v="240"/>
    <x v="474"/>
    <n v="579.64599999999996"/>
    <s v="Abraham"/>
    <s v="CA-MA-R18"/>
    <s v="PALF"/>
    <x v="1"/>
    <s v="Congo"/>
    <x v="0"/>
    <x v="0"/>
    <m/>
  </r>
  <r>
    <x v="125"/>
    <s v="Frais d'impression de la photo et du mandat"/>
    <s v="Court fees"/>
    <s v="Legal"/>
    <x v="241"/>
    <x v="475"/>
    <n v="579.64599999999996"/>
    <s v="Donald-Romeo"/>
    <s v="DR-MA-R6"/>
    <s v="PALF"/>
    <x v="1"/>
    <s v="Congo"/>
    <x v="0"/>
    <x v="0"/>
    <m/>
  </r>
  <r>
    <x v="125"/>
    <s v="Paiement frais d'impression carte de visite coordinateur"/>
    <s v="Office Materials"/>
    <s v="Office"/>
    <x v="0"/>
    <x v="452"/>
    <n v="579.64599999999996"/>
    <s v="Romain"/>
    <s v="CA-MA-R20"/>
    <s v="PALF"/>
    <x v="1"/>
    <s v="Congo"/>
    <x v="0"/>
    <x v="0"/>
    <m/>
  </r>
  <r>
    <x v="126"/>
    <s v="Raffraichissements pendant l'attente de l'opération avec 04 gendarmes en civile"/>
    <s v="Travel Subsistence"/>
    <s v="Operations"/>
    <x v="4"/>
    <x v="444"/>
    <n v="579.64599999999996"/>
    <s v="Crépin"/>
    <s v="CR-MA-R4"/>
    <s v="PALF"/>
    <x v="1"/>
    <s v="Congo"/>
    <x v="0"/>
    <x v="0"/>
    <m/>
  </r>
  <r>
    <x v="126"/>
    <s v="Raffraichissement pendant la mission sur EPENA"/>
    <s v="Travel Subsistence"/>
    <s v="Operations"/>
    <x v="64"/>
    <x v="455"/>
    <n v="579.64599999999996"/>
    <s v="Crépin"/>
    <s v="CR-MA-R5"/>
    <s v="PALF"/>
    <x v="1"/>
    <s v="Congo"/>
    <x v="0"/>
    <x v="0"/>
    <m/>
  </r>
  <r>
    <x v="126"/>
    <s v="Ration pendant la mission sur EPENA  avec 10 gendarmes, Evariste et Roméo"/>
    <s v="Travel Subsistence"/>
    <s v="Operations"/>
    <x v="242"/>
    <x v="476"/>
    <n v="579.64599999999996"/>
    <s v="Crépin"/>
    <s v="CR-MA-R6"/>
    <s v="PALF"/>
    <x v="1"/>
    <s v="Congo"/>
    <x v="0"/>
    <x v="0"/>
    <m/>
  </r>
  <r>
    <x v="126"/>
    <s v="Achat de 100 litres de carburant aller et retour Impfondo-EPENA"/>
    <s v="Transport"/>
    <s v="Operations"/>
    <x v="13"/>
    <x v="477"/>
    <n v="579.64599999999996"/>
    <s v="Crépin"/>
    <s v="CR-MA-R4"/>
    <s v="PALF"/>
    <x v="1"/>
    <s v="Congo"/>
    <x v="0"/>
    <x v="0"/>
    <m/>
  </r>
  <r>
    <x v="126"/>
    <s v="Bonus pour 03 gendarmes d'EPENA ayant aidé pour l'interpellation de Parfait"/>
    <s v="Travel Subsistence"/>
    <s v="Operations"/>
    <x v="64"/>
    <x v="455"/>
    <n v="579.64599999999996"/>
    <s v="Crépin"/>
    <s v="CR-MA-R5"/>
    <s v="PALF"/>
    <x v="1"/>
    <s v="Congo"/>
    <x v="0"/>
    <x v="0"/>
    <m/>
  </r>
  <r>
    <x v="126"/>
    <s v="Frais de tansfert d'argent à P29 et Evariste"/>
    <s v="Transfer Fees"/>
    <s v="Office"/>
    <x v="243"/>
    <x v="478"/>
    <n v="579.64599999999996"/>
    <s v="Parfaite"/>
    <s v="CA-MA-R21"/>
    <s v="PALF"/>
    <x v="1"/>
    <s v="Congo"/>
    <x v="0"/>
    <x v="0"/>
    <m/>
  </r>
  <r>
    <x v="126"/>
    <s v=" Frais de prestation de nettoyage jardin PALF Mai 2025"/>
    <s v="Services"/>
    <s v="Office"/>
    <x v="0"/>
    <x v="452"/>
    <n v="579.64599999999996"/>
    <s v="Parfaite"/>
    <s v="CA-MA-R22"/>
    <s v="PALF"/>
    <x v="1"/>
    <s v="Congo"/>
    <x v="0"/>
    <x v="0"/>
    <m/>
  </r>
  <r>
    <x v="126"/>
    <s v="Location véhicule pour extraction Impfondo-Enyelle/P29"/>
    <s v="Transport"/>
    <s v="Investigations"/>
    <x v="244"/>
    <x v="479"/>
    <n v="579.64599999999996"/>
    <s v="P29"/>
    <s v="P29-MA-R15"/>
    <s v="PALF"/>
    <x v="1"/>
    <s v="Congo"/>
    <x v="0"/>
    <x v="0"/>
    <m/>
  </r>
  <r>
    <x v="126"/>
    <s v="Cumul frais de trust building du mois de Mai 2025/P29"/>
    <s v="Trust Building"/>
    <s v="Investigations"/>
    <x v="245"/>
    <x v="480"/>
    <n v="579.64599999999996"/>
    <s v="P29"/>
    <s v="P29-MA-D4"/>
    <s v="PALF"/>
    <x v="1"/>
    <s v="Congo"/>
    <x v="0"/>
    <x v="0"/>
    <m/>
  </r>
  <r>
    <x v="126"/>
    <s v="T73 - CONGO Frais d'hotel du 22 au 27/05/20225 (05 nuitées) à Impfondo"/>
    <s v="Travel Subsistence"/>
    <s v="Investigations"/>
    <x v="116"/>
    <x v="481"/>
    <n v="579.64599999999996"/>
    <s v="T73"/>
    <s v="T73-MA-R16"/>
    <s v="PALF"/>
    <x v="1"/>
    <s v="Congo"/>
    <x v="0"/>
    <x v="0"/>
    <m/>
  </r>
  <r>
    <x v="126"/>
    <s v="Cumul Frais de trust building du mois de Mai 2025/G12"/>
    <s v="Trust Building"/>
    <s v="Investigations"/>
    <x v="130"/>
    <x v="482"/>
    <n v="579.64599999999996"/>
    <s v="G12"/>
    <s v="G12-MA-D3"/>
    <s v="PALF"/>
    <x v="1"/>
    <s v="Congo"/>
    <x v="0"/>
    <x v="0"/>
    <m/>
  </r>
  <r>
    <x v="126"/>
    <s v="Paiement Certificats d'hébergement  de martina et valentina"/>
    <s v="Travel Expenses"/>
    <s v="Investigations"/>
    <x v="23"/>
    <x v="472"/>
    <n v="579.64599999999996"/>
    <s v="Roderlin"/>
    <s v="CA-MA-R23"/>
    <s v="PALF"/>
    <x v="1"/>
    <s v="Congo"/>
    <x v="0"/>
    <x v="0"/>
    <m/>
  </r>
  <r>
    <x v="126"/>
    <s v="Achat carburant BJ OP"/>
    <s v="Transport "/>
    <s v="Operations"/>
    <x v="7"/>
    <x v="483"/>
    <n v="579.64599999999996"/>
    <s v="Donald-Romeo"/>
    <s v="DR-MA-R7"/>
    <s v="PALF"/>
    <x v="1"/>
    <s v="Congo"/>
    <x v="0"/>
    <x v="0"/>
    <m/>
  </r>
  <r>
    <x v="126"/>
    <s v="Raffraichissement OP  à Impfondo/10  gendarmes et moi"/>
    <s v="Travel Subsistence"/>
    <s v="Legal"/>
    <x v="246"/>
    <x v="484"/>
    <n v="579.64599999999996"/>
    <s v="Donald-Romeo"/>
    <s v="DR-MA-R8"/>
    <s v="PALF"/>
    <x v="1"/>
    <s v="Congo"/>
    <x v="0"/>
    <x v="0"/>
    <m/>
  </r>
  <r>
    <x v="126"/>
    <s v="Rafraichissement de mon équipe lors de l'opération"/>
    <s v="Travel Subsistence"/>
    <s v="Media"/>
    <x v="4"/>
    <x v="444"/>
    <n v="579.64599999999996"/>
    <s v="Evariste"/>
    <s v="EV-MA-R4"/>
    <s v="PALF"/>
    <x v="1"/>
    <s v="Congo"/>
    <x v="0"/>
    <x v="0"/>
    <m/>
  </r>
  <r>
    <x v="127"/>
    <s v="Frais de virement salaire du mois de Mai 2025/Evariste"/>
    <s v="Bank fees"/>
    <s v="Office"/>
    <x v="247"/>
    <x v="485"/>
    <n v="579.64599999999996"/>
    <s v="BCI"/>
    <s v="BQ-MA-R15"/>
    <s v="PALF"/>
    <x v="1"/>
    <s v="Congo"/>
    <x v="0"/>
    <x v="0"/>
    <m/>
  </r>
  <r>
    <x v="127"/>
    <s v="Frais de virement salaire du mois de Mai 2025/Crepin IBOUILI"/>
    <s v="Bank fees"/>
    <s v="Office"/>
    <x v="248"/>
    <x v="486"/>
    <n v="579.64599999999996"/>
    <s v="BCI"/>
    <s v="BQ-MA-R16"/>
    <s v="PALF"/>
    <x v="1"/>
    <s v="Congo"/>
    <x v="0"/>
    <x v="0"/>
    <m/>
  </r>
  <r>
    <x v="127"/>
    <s v="Frais de virement salaire du mois de Mai 2025/Donald-Roméo"/>
    <s v="Bank fees"/>
    <s v="Office"/>
    <x v="249"/>
    <x v="487"/>
    <n v="579.64599999999996"/>
    <s v="BCI"/>
    <s v="BQ-MA-R17"/>
    <s v="PALF"/>
    <x v="1"/>
    <s v="Congo"/>
    <x v="0"/>
    <x v="0"/>
    <m/>
  </r>
  <r>
    <x v="127"/>
    <s v="Bonus de 16 gendarmes ayant participé à l'opération d'Impfondo, le 27/05/2025"/>
    <s v="Travel Subsistence"/>
    <s v="Legal"/>
    <x v="18"/>
    <x v="488"/>
    <n v="579.64599999999996"/>
    <s v="Crépin"/>
    <s v="CR-MA-R9"/>
    <s v="PALF"/>
    <x v="1"/>
    <s v="Congo"/>
    <x v="0"/>
    <x v="0"/>
    <m/>
  </r>
  <r>
    <x v="127"/>
    <s v="Bonus de 10 gendarmes ayant effectué la mission d'EPENA le 27/05/2025"/>
    <s v="Travel Subsistence"/>
    <s v="Legal"/>
    <x v="13"/>
    <x v="477"/>
    <n v="579.64599999999996"/>
    <s v="Crépin"/>
    <s v="CR-MA-R10"/>
    <s v="PALF"/>
    <x v="1"/>
    <s v="Congo"/>
    <x v="0"/>
    <x v="0"/>
    <m/>
  </r>
  <r>
    <x v="127"/>
    <s v="Bonus de 02 EF pour l'opération du 27/05/2025 à Impfondo"/>
    <s v="Travel Subsistence"/>
    <s v="Legal"/>
    <x v="0"/>
    <x v="452"/>
    <n v="579.64599999999996"/>
    <s v="Crépin"/>
    <s v="CR-MA-R11"/>
    <s v="PALF"/>
    <x v="1"/>
    <s v="Congo"/>
    <x v="0"/>
    <x v="0"/>
    <m/>
  </r>
  <r>
    <x v="127"/>
    <s v="Reglement prestation de nettoyage  PALF du mois de Mai 2025"/>
    <s v="Services"/>
    <s v="Office"/>
    <x v="73"/>
    <x v="489"/>
    <n v="579.64599999999996"/>
    <s v="Parfaite"/>
    <s v="CA-MA-R25"/>
    <s v="PALF"/>
    <x v="1"/>
    <s v="Congo"/>
    <x v="0"/>
    <x v="0"/>
    <m/>
  </r>
  <r>
    <x v="127"/>
    <s v="P29 -CONGO Frais d'hotel du 25 au 28/05/2025 à Impfondo lieu op(P29) (03 Nuitées)"/>
    <s v="Travel Subsistence"/>
    <s v="Investigations"/>
    <x v="137"/>
    <x v="490"/>
    <n v="579.64599999999996"/>
    <s v="P29"/>
    <s v="P29-MA-R16"/>
    <s v="PALF"/>
    <x v="1"/>
    <s v="Congo"/>
    <x v="0"/>
    <x v="0"/>
    <m/>
  </r>
  <r>
    <x v="127"/>
    <s v="P29 -CONGO Frais d'hotel du 25 au 28/05/2025 à Impfondo lieu op(Crépin) (03 Nuitées)"/>
    <s v="Travel Subsistence"/>
    <s v="Investigations"/>
    <x v="137"/>
    <x v="490"/>
    <n v="579.64599999999996"/>
    <s v="P29"/>
    <s v="P29-MA-R17"/>
    <s v="PALF"/>
    <x v="1"/>
    <s v="Congo"/>
    <x v="0"/>
    <x v="0"/>
    <m/>
  </r>
  <r>
    <x v="127"/>
    <s v="IT87-CONGO Frais d'hôtel Akoua du 26 au 28/05/2025 à Etoumbi (02 nuitées)"/>
    <s v="Travel Subsistence"/>
    <s v="Investigations"/>
    <x v="44"/>
    <x v="448"/>
    <n v="579.64599999999996"/>
    <s v="IT87"/>
    <s v="IT87-MA-R6"/>
    <s v="PALF"/>
    <x v="1"/>
    <s v="Congo"/>
    <x v="0"/>
    <x v="0"/>
    <m/>
  </r>
  <r>
    <x v="127"/>
    <s v="Achat billet Etoumbi - Makoua/ IT87"/>
    <s v="Transport"/>
    <s v="Investigations"/>
    <x v="31"/>
    <x v="463"/>
    <n v="579.64599999999996"/>
    <s v="IT87"/>
    <s v="IT87-MA-R7"/>
    <s v="PALF"/>
    <x v="1"/>
    <s v="Congo"/>
    <x v="0"/>
    <x v="0"/>
    <m/>
  </r>
  <r>
    <x v="127"/>
    <s v="Cumul frais de transport local du mois de Mai 2025/G12"/>
    <s v="Transport"/>
    <s v="Investigations"/>
    <x v="250"/>
    <x v="491"/>
    <n v="579.64599999999996"/>
    <s v="G12"/>
    <s v="G12-MA-D4"/>
    <s v="PALF"/>
    <x v="1"/>
    <s v="Congo"/>
    <x v="0"/>
    <x v="0"/>
    <m/>
  </r>
  <r>
    <x v="127"/>
    <s v="Frais de tansfert d'argent à P29 et Evariste"/>
    <s v="Transfer Fees"/>
    <s v="Office"/>
    <x v="251"/>
    <x v="492"/>
    <n v="579.64599999999996"/>
    <s v="Abraham"/>
    <s v="CA-MA-R24"/>
    <s v="PALF"/>
    <x v="1"/>
    <s v="Congo"/>
    <x v="0"/>
    <x v="0"/>
    <m/>
  </r>
  <r>
    <x v="128"/>
    <s v="Achat billet Makoua - Brazzaville/ IT87"/>
    <s v="Transport"/>
    <s v="Investigations"/>
    <x v="37"/>
    <x v="447"/>
    <n v="579.64599999999996"/>
    <s v="IT87"/>
    <s v="IT87-MA-R8"/>
    <s v="PALF"/>
    <x v="1"/>
    <s v="Congo"/>
    <x v="0"/>
    <x v="0"/>
    <m/>
  </r>
  <r>
    <x v="128"/>
    <s v="IT87-CONGO Frais d'hôtel  du 28 au 29/05/2025 à Makoua (01 nuitée)"/>
    <s v="Travel Subsistence"/>
    <s v="Investigations"/>
    <x v="64"/>
    <x v="455"/>
    <n v="579.64599999999996"/>
    <s v="IT87"/>
    <s v="IT87-MA-R9"/>
    <s v="PALF"/>
    <x v="1"/>
    <s v="Congo"/>
    <x v="0"/>
    <x v="0"/>
    <m/>
  </r>
  <r>
    <x v="128"/>
    <s v="Cumul frais de transport local du mois de Mai 2025/ IT87"/>
    <s v="Transport"/>
    <s v="Investigations"/>
    <x v="252"/>
    <x v="493"/>
    <n v="579.64599999999996"/>
    <s v="IT87"/>
    <s v="IT87-MA-D3"/>
    <s v="PALF"/>
    <x v="1"/>
    <s v="Congo"/>
    <x v="0"/>
    <x v="0"/>
    <m/>
  </r>
  <r>
    <x v="129"/>
    <s v="Reglement honoraire du mois de Mai 2025/G12/3654842"/>
    <s v="Personnel"/>
    <s v="Investigations"/>
    <x v="25"/>
    <x v="494"/>
    <n v="560.94248000000005"/>
    <s v="BCI"/>
    <s v="BQ-MA-R11"/>
    <s v="PALF"/>
    <x v="5"/>
    <s v="Congo"/>
    <x v="0"/>
    <x v="0"/>
    <m/>
  </r>
  <r>
    <x v="129"/>
    <s v="Cumul frais de transport local du mois de Mai 2025/DOVI"/>
    <s v="Transport"/>
    <s v="Management"/>
    <x v="253"/>
    <x v="495"/>
    <n v="579.64599999999996"/>
    <s v="DOVI"/>
    <s v="DH-MA-D1"/>
    <s v="PALF"/>
    <x v="1"/>
    <s v="Congo"/>
    <x v="0"/>
    <x v="0"/>
    <m/>
  </r>
  <r>
    <x v="129"/>
    <s v="credit  teléphonique MTN/PALF/Première partie du mois de Juin 2025/Management"/>
    <s v="Telephone"/>
    <s v="Management"/>
    <x v="1"/>
    <x v="496"/>
    <n v="579.64599999999996"/>
    <s v="DOVI"/>
    <s v="DH-MA-R4"/>
    <s v="PALF"/>
    <x v="1"/>
    <s v="Congo"/>
    <x v="0"/>
    <x v="0"/>
    <m/>
  </r>
  <r>
    <x v="129"/>
    <s v="Cumul frais de transport local du mois de Mai 2025/Crepin "/>
    <s v="Transport"/>
    <s v="Legal"/>
    <x v="254"/>
    <x v="497"/>
    <n v="579.64599999999996"/>
    <s v="Crépin"/>
    <s v="CR-MA-D2"/>
    <s v="PALF"/>
    <x v="1"/>
    <s v="Congo"/>
    <x v="0"/>
    <x v="0"/>
    <m/>
  </r>
  <r>
    <x v="129"/>
    <s v="credit  teléphonique MTN/PALF/Première partie du mois de JUIN 2025/Legal"/>
    <s v="Telephone"/>
    <s v="Legal"/>
    <x v="5"/>
    <x v="498"/>
    <n v="579.64599999999996"/>
    <s v="Crépin"/>
    <s v="CR-MA-R16"/>
    <s v="PALF"/>
    <x v="1"/>
    <s v="Congo"/>
    <x v="0"/>
    <x v="0"/>
    <m/>
  </r>
  <r>
    <x v="129"/>
    <s v="credit  teléphonique Airtel/PALF/Première partie du mois de Juin 2025/Legal"/>
    <s v="Telephone"/>
    <s v="Legal"/>
    <x v="31"/>
    <x v="463"/>
    <n v="579.64599999999996"/>
    <s v="Crépin"/>
    <s v="CR-MA-R17"/>
    <s v="PALF"/>
    <x v="1"/>
    <s v="Congo"/>
    <x v="0"/>
    <x v="0"/>
    <m/>
  </r>
  <r>
    <x v="129"/>
    <s v="Cumul frais de transport local du mois de Mai 2025/ Parfaite"/>
    <s v="Transport"/>
    <s v="Office"/>
    <x v="80"/>
    <x v="499"/>
    <n v="579.64599999999996"/>
    <s v="Parfaite"/>
    <s v="P-MA-D1"/>
    <s v="PALF"/>
    <x v="1"/>
    <s v="Congo"/>
    <x v="0"/>
    <x v="0"/>
    <m/>
  </r>
  <r>
    <x v="129"/>
    <s v=" frais de ramassage Ordure Mai 2025"/>
    <s v="Rent &amp; Utilities"/>
    <s v="Office"/>
    <x v="4"/>
    <x v="444"/>
    <n v="579.64599999999996"/>
    <s v="Parfaite"/>
    <s v="CA-MA-R26"/>
    <s v="PALF"/>
    <x v="1"/>
    <s v="Congo"/>
    <x v="0"/>
    <x v="0"/>
    <m/>
  </r>
  <r>
    <x v="129"/>
    <s v="Reglement facture internet periode du 01/05 au 30/06/2025 bureau PALF"/>
    <s v="Internet"/>
    <s v="Office"/>
    <x v="87"/>
    <x v="500"/>
    <n v="579.64599999999996"/>
    <s v="Parfaite"/>
    <s v="CA-MA-R27"/>
    <s v="PALF"/>
    <x v="1"/>
    <s v="Congo"/>
    <x v="0"/>
    <x v="0"/>
    <m/>
  </r>
  <r>
    <x v="129"/>
    <s v="Frais de tansfert d'argent à P29 et T73"/>
    <s v="Transfer Fees"/>
    <s v="Office"/>
    <x v="255"/>
    <x v="501"/>
    <n v="579.64599999999996"/>
    <s v="Parfaite"/>
    <s v="CA-MA-R29"/>
    <s v="PALF"/>
    <x v="1"/>
    <s v="Congo"/>
    <x v="0"/>
    <x v="0"/>
    <m/>
  </r>
  <r>
    <x v="129"/>
    <s v="credit  teléphonique MTN/PALF/Première partie du mois de Juin 2025/Office"/>
    <s v="Telephone"/>
    <s v="Office"/>
    <x v="1"/>
    <x v="496"/>
    <n v="579.64599999999996"/>
    <s v="Parfaite"/>
    <s v="P-MA-R3"/>
    <s v="PALF"/>
    <x v="1"/>
    <s v="Congo"/>
    <x v="0"/>
    <x v="0"/>
    <m/>
  </r>
  <r>
    <x v="129"/>
    <s v="credit  teléphonique MTN/PALF/Première partie du mois de Juin 2025/Investigation"/>
    <s v="Telephone"/>
    <s v="Investigations"/>
    <x v="4"/>
    <x v="444"/>
    <n v="579.64599999999996"/>
    <s v="P29"/>
    <s v="P29-MA-R23"/>
    <s v="PALF"/>
    <x v="1"/>
    <s v="Congo"/>
    <x v="0"/>
    <x v="0"/>
    <m/>
  </r>
  <r>
    <x v="129"/>
    <s v="credit  teléphonique Airtel/PALF/Première partie du mois de Juin 2025/Investigation"/>
    <s v="Telephone"/>
    <s v="Investigations"/>
    <x v="5"/>
    <x v="498"/>
    <n v="579.64599999999996"/>
    <s v="P29"/>
    <s v="P29-MA-R24"/>
    <s v="PALF"/>
    <x v="1"/>
    <s v="Congo"/>
    <x v="0"/>
    <x v="0"/>
    <m/>
  </r>
  <r>
    <x v="129"/>
    <s v="credit  teléphonique MTN/PALF/Première partie du mois de Juin 2025/Investigation"/>
    <s v="Telephone"/>
    <s v="Investigations"/>
    <x v="51"/>
    <x v="502"/>
    <n v="579.64599999999996"/>
    <s v="T73"/>
    <s v="T73-MA-R19"/>
    <s v="PALF"/>
    <x v="1"/>
    <s v="Congo"/>
    <x v="0"/>
    <x v="0"/>
    <m/>
  </r>
  <r>
    <x v="129"/>
    <s v="credit  teléphonique MTN/PALF/Première partie du mois de Juin 2025/Investigation"/>
    <s v="Telephone"/>
    <s v="Investigations"/>
    <x v="51"/>
    <x v="502"/>
    <n v="579.64599999999996"/>
    <s v="IT87"/>
    <s v="IT87-MA-R11"/>
    <s v="PALF"/>
    <x v="1"/>
    <s v="Congo"/>
    <x v="0"/>
    <x v="0"/>
    <m/>
  </r>
  <r>
    <x v="129"/>
    <s v="credit  teléphonique MTN/PALF/Première partie du mois de Juin 2025/Investigation"/>
    <s v="Telephone"/>
    <s v="Investigations"/>
    <x v="4"/>
    <x v="444"/>
    <n v="579.64599999999996"/>
    <s v="G12"/>
    <s v="G12-MA-R22"/>
    <s v="PALF"/>
    <x v="1"/>
    <s v="Congo"/>
    <x v="0"/>
    <x v="0"/>
    <m/>
  </r>
  <r>
    <x v="129"/>
    <s v="credit  teléphonique Airtel/PALF/Première partie du mois de Juin 2025/Investigation"/>
    <s v="Telephone"/>
    <s v="Investigations"/>
    <x v="5"/>
    <x v="498"/>
    <n v="579.64599999999996"/>
    <s v="G12"/>
    <s v="G12-MA-R23"/>
    <s v="PALF"/>
    <x v="1"/>
    <s v="Congo"/>
    <x v="0"/>
    <x v="0"/>
    <m/>
  </r>
  <r>
    <x v="129"/>
    <s v="credit  teléphonique MTN/PALF/Première partie du mois de JUIN 2025/Legal"/>
    <s v="Telephone"/>
    <s v="Legal"/>
    <x v="5"/>
    <x v="498"/>
    <n v="579.64599999999996"/>
    <s v="Abraham"/>
    <s v="AB-MA-R7"/>
    <s v="PALF"/>
    <x v="1"/>
    <s v="Congo"/>
    <x v="0"/>
    <x v="0"/>
    <m/>
  </r>
  <r>
    <x v="129"/>
    <s v="credit  teléphonique Airtel/PALF/Première partie du mois de Juin 2025/Legal"/>
    <s v="Telephone"/>
    <s v="Legal"/>
    <x v="31"/>
    <x v="463"/>
    <n v="579.64599999999996"/>
    <s v="Abraham"/>
    <s v="AB-MA-R8"/>
    <s v="PALF"/>
    <x v="1"/>
    <s v="Congo"/>
    <x v="0"/>
    <x v="0"/>
    <m/>
  </r>
  <r>
    <x v="129"/>
    <s v="Frais de tansfert d'argent à Crepin, Donald-Roméo et Evariste"/>
    <s v="Transfer Fees"/>
    <s v="Office"/>
    <x v="256"/>
    <x v="503"/>
    <n v="579.64599999999996"/>
    <s v="Abraham"/>
    <s v="CA-MA-R28"/>
    <s v="PALF"/>
    <x v="1"/>
    <s v="Congo"/>
    <x v="0"/>
    <x v="0"/>
    <m/>
  </r>
  <r>
    <x v="129"/>
    <s v="Frais de transport mission Maitre Alain à Impfondo du 01 au 06/06/2025"/>
    <s v="Transport"/>
    <s v="Legal"/>
    <x v="93"/>
    <x v="504"/>
    <n v="579.64599999999996"/>
    <s v="Abraham"/>
    <s v="CA-MA-R30"/>
    <s v="PALF"/>
    <x v="1"/>
    <s v="Congo"/>
    <x v="0"/>
    <x v="0"/>
    <m/>
  </r>
  <r>
    <x v="129"/>
    <s v="Ration et frais d'hotel mission maitre Alain à Impfondo du 01 au 06/06/2025"/>
    <s v="Travel Subsistence"/>
    <s v="Legal"/>
    <x v="257"/>
    <x v="505"/>
    <n v="579.64599999999996"/>
    <s v="Abraham"/>
    <s v="CA-MA-R31"/>
    <s v="PALF"/>
    <x v="1"/>
    <s v="Congo"/>
    <x v="0"/>
    <x v="0"/>
    <m/>
  </r>
  <r>
    <x v="129"/>
    <s v="Cumul Frais de transport local  du mois de Mai 2025/Roderlin"/>
    <s v="Transport"/>
    <s v="Legal"/>
    <x v="258"/>
    <x v="506"/>
    <n v="579.64599999999996"/>
    <s v="Roderlin"/>
    <s v="RO-MA-D3"/>
    <s v="PALF"/>
    <x v="1"/>
    <s v="Congo"/>
    <x v="0"/>
    <x v="0"/>
    <m/>
  </r>
  <r>
    <x v="129"/>
    <s v="credit  teléphonique MTN/PALF/Première partie du mois de JUIN 2025/Legal"/>
    <s v="Telephone"/>
    <s v="Legal"/>
    <x v="1"/>
    <x v="496"/>
    <n v="579.64599999999996"/>
    <s v="Roderlin"/>
    <s v="RO-MA-R8"/>
    <s v="PALF"/>
    <x v="1"/>
    <s v="Congo"/>
    <x v="0"/>
    <x v="0"/>
    <m/>
  </r>
  <r>
    <x v="129"/>
    <s v="credit  teléphonique MTN/PALF/Première partie du mois de JUIN 2025/Legal"/>
    <s v="Telephone"/>
    <s v="Legal"/>
    <x v="1"/>
    <x v="496"/>
    <n v="579.64599999999996"/>
    <s v="Donald-Romeo"/>
    <s v="DR-MA-R11"/>
    <s v="PALF"/>
    <x v="1"/>
    <s v="Congo"/>
    <x v="0"/>
    <x v="0"/>
    <m/>
  </r>
  <r>
    <x v="129"/>
    <s v="Cumul frais de transport local du mois de Mai 2025/ Evariste"/>
    <s v="Transport"/>
    <s v="Media"/>
    <x v="122"/>
    <x v="507"/>
    <n v="579.64599999999996"/>
    <s v="Evariste"/>
    <s v="EV-MA-D2"/>
    <s v="PALF"/>
    <x v="1"/>
    <s v="Congo"/>
    <x v="0"/>
    <x v="0"/>
    <m/>
  </r>
  <r>
    <x v="129"/>
    <s v="Cumul frais de transport local du mois de Mai 2025/Romain"/>
    <s v="Transport"/>
    <s v="Legal"/>
    <x v="259"/>
    <x v="508"/>
    <n v="579.64599999999996"/>
    <s v="Romain"/>
    <s v="RM-MA-D4"/>
    <s v="PALF"/>
    <x v="1"/>
    <s v="Congo"/>
    <x v="0"/>
    <x v="0"/>
    <m/>
  </r>
  <r>
    <x v="129"/>
    <s v="credit  teléphonique MTN/PALF/Première partie du mois de JUIN 2025/Legal"/>
    <s v="Telephone"/>
    <s v="Legal"/>
    <x v="1"/>
    <x v="496"/>
    <n v="579.64599999999996"/>
    <s v="Romain"/>
    <s v="RM-MA-R10"/>
    <s v="PALF"/>
    <x v="1"/>
    <s v="Congo"/>
    <x v="0"/>
    <x v="0"/>
    <m/>
  </r>
  <r>
    <x v="129"/>
    <s v="credit  teléphonique MTN/PALF/Première partie du mois de Juin 2025/Media"/>
    <s v="Telephone"/>
    <s v="Media"/>
    <x v="4"/>
    <x v="444"/>
    <n v="579.64599999999996"/>
    <s v="Evariste"/>
    <s v="EV-MA-R6"/>
    <s v="PALF"/>
    <x v="1"/>
    <s v="Congo"/>
    <x v="0"/>
    <x v="0"/>
    <m/>
  </r>
  <r>
    <x v="129"/>
    <s v="credit  teléphonique Airtel/PALF/Première partie du mois de Juin 2025/Media"/>
    <s v="Telephone"/>
    <s v="Media"/>
    <x v="6"/>
    <x v="509"/>
    <n v="579.64599999999996"/>
    <s v="Evariste"/>
    <s v="EV-MA-R7"/>
    <s v="PALF"/>
    <x v="1"/>
    <s v="Congo"/>
    <x v="0"/>
    <x v="0"/>
    <m/>
  </r>
  <r>
    <x v="130"/>
    <s v="P29 -CONGO Frais d'hotel du 27 au 31/05/2025 à  enyelle (04 Nuitées)"/>
    <s v="Travel Subsistence"/>
    <s v="Investigations"/>
    <x v="23"/>
    <x v="472"/>
    <n v="579.64599999999996"/>
    <s v="P29"/>
    <s v="P29-MA-R18"/>
    <s v="PALF"/>
    <x v="1"/>
    <s v="Congo"/>
    <x v="0"/>
    <x v="0"/>
    <m/>
  </r>
  <r>
    <x v="130"/>
    <s v="Cumul frais de transport local du mois de Mai 2025/T73"/>
    <s v="Transport"/>
    <s v="Investigations"/>
    <x v="260"/>
    <x v="510"/>
    <n v="579.64599999999996"/>
    <s v="T73"/>
    <s v="T73-MA-D4"/>
    <s v="PALF"/>
    <x v="1"/>
    <s v="Congo"/>
    <x v="0"/>
    <x v="0"/>
    <m/>
  </r>
  <r>
    <x v="130"/>
    <s v="Cumul frais de transport local du mois de Mai 2025/ Abraham"/>
    <s v="Transport"/>
    <s v="Legal"/>
    <x v="28"/>
    <x v="511"/>
    <n v="579.64599999999996"/>
    <s v="Abraham"/>
    <s v="AB-MA-D3"/>
    <s v="PALF"/>
    <x v="1"/>
    <s v="Congo"/>
    <x v="0"/>
    <x v="0"/>
    <m/>
  </r>
  <r>
    <x v="130"/>
    <s v="cumul frais de Jail visits du mois de Mai 2025/Donald-Romeo"/>
    <s v="Jail visit"/>
    <s v="Legal"/>
    <x v="222"/>
    <x v="512"/>
    <n v="579.64599999999996"/>
    <s v="Donald-Romeo"/>
    <s v="DR-MA-D3"/>
    <s v="PALF"/>
    <x v="1"/>
    <s v="Congo"/>
    <x v="0"/>
    <x v="0"/>
    <m/>
  </r>
  <r>
    <x v="130"/>
    <s v="Cumul frais de transport local du mois de Mai 2025/Donald-Romeo"/>
    <s v="Transport "/>
    <s v="Legal"/>
    <x v="261"/>
    <x v="513"/>
    <n v="579.64599999999996"/>
    <s v="Donald-Romeo"/>
    <s v="DR-MA-D4"/>
    <s v="PALF"/>
    <x v="1"/>
    <s v="Congo"/>
    <x v="0"/>
    <x v="0"/>
    <m/>
  </r>
  <r>
    <x v="131"/>
    <s v="T73 - CONGO Frais d'hotel du 27 au 01/06/2025 à Enyele(5nuitées)"/>
    <s v="Travel Subsistence"/>
    <s v="Investigations"/>
    <x v="116"/>
    <x v="481"/>
    <n v="579.64599999999996"/>
    <s v="T73"/>
    <s v="T73-J-R1"/>
    <s v="PALF"/>
    <x v="1"/>
    <s v="Congo"/>
    <x v="0"/>
    <x v="0"/>
    <m/>
  </r>
  <r>
    <x v="131"/>
    <s v="Achat Billet Brazzaville-Impfondo/ Romain"/>
    <s v="Transport"/>
    <s v="Legal"/>
    <x v="188"/>
    <x v="454"/>
    <n v="579.64599999999996"/>
    <s v="Romain"/>
    <s v="RM-J-R1"/>
    <s v="PALF"/>
    <x v="1"/>
    <s v="Congo"/>
    <x v="0"/>
    <x v="0"/>
    <m/>
  </r>
  <r>
    <x v="131"/>
    <s v="ROMAIN-CONGO: Ration du 01 au 08/2025 à Impfondo"/>
    <s v="Travel Subsistence"/>
    <s v="Legal"/>
    <x v="21"/>
    <x v="514"/>
    <n v="579.64599999999996"/>
    <s v="Romain"/>
    <s v="RM-J-D1"/>
    <s v="PALF"/>
    <x v="1"/>
    <s v="Congo"/>
    <x v="0"/>
    <x v="0"/>
    <m/>
  </r>
  <r>
    <x v="132"/>
    <s v="Frais de transfert d'argent à  Evariste"/>
    <s v="Transfer Fees"/>
    <s v="Office"/>
    <x v="63"/>
    <x v="515"/>
    <n v="579.64599999999996"/>
    <s v="Roderlin"/>
    <s v="CA-J-R1"/>
    <s v="PALF"/>
    <x v="1"/>
    <s v="Congo"/>
    <x v="0"/>
    <x v="0"/>
    <m/>
  </r>
  <r>
    <x v="132"/>
    <s v="Bonus media portant sur l'interpallation de 03 trafiquants à Impfondo(Tele congo chaine nationale en langues françcaisn, Kituba et lingala"/>
    <s v="Bonus to media officer"/>
    <s v="Media"/>
    <x v="58"/>
    <x v="467"/>
    <n v="579.64599999999996"/>
    <s v="Evariste"/>
    <s v="CA-J-D1"/>
    <s v="PALF"/>
    <x v="1"/>
    <s v="Congo"/>
    <x v="0"/>
    <x v="0"/>
    <m/>
  </r>
  <r>
    <x v="132"/>
    <s v="Romain-CONGO: Frais d'hotel du 01 au 02/06/2025 à Ouesso (01 Nuitée)"/>
    <s v="Travel Subsistence"/>
    <s v="Legal"/>
    <x v="64"/>
    <x v="455"/>
    <n v="579.64599999999996"/>
    <s v="Romain"/>
    <s v="RM-J-R2"/>
    <s v="PALF"/>
    <x v="1"/>
    <s v="Congo"/>
    <x v="0"/>
    <x v="0"/>
    <m/>
  </r>
  <r>
    <x v="132"/>
    <s v="Reglement honoraire du mois de Mai 2025/IT87/3654878"/>
    <s v="Personnel"/>
    <s v="Investigations"/>
    <x v="262"/>
    <x v="516"/>
    <n v="560.94248000000005"/>
    <s v="BCI"/>
    <s v="BQ-J-R1"/>
    <s v="PALF"/>
    <x v="5"/>
    <s v="Congo"/>
    <x v="0"/>
    <x v="0"/>
    <m/>
  </r>
  <r>
    <x v="132"/>
    <s v="Paiement Honoraire Me LOCKO/Mois de Mai 2025/3654877"/>
    <s v="Lawyer Fees"/>
    <s v="Legal"/>
    <x v="11"/>
    <x v="464"/>
    <n v="579.64599999999996"/>
    <s v="BCI"/>
    <s v="BQ-J-R2"/>
    <s v="PALF"/>
    <x v="1"/>
    <s v="Congo"/>
    <x v="0"/>
    <x v="0"/>
    <m/>
  </r>
  <r>
    <x v="133"/>
    <s v="Achat billet Enyele-Brazzaville/ P29"/>
    <s v="Transport"/>
    <s v="Investigations"/>
    <x v="189"/>
    <x v="517"/>
    <n v="579.64599999999996"/>
    <s v="P29"/>
    <s v="P19-J-R1"/>
    <s v="PALF"/>
    <x v="1"/>
    <s v="Congo"/>
    <x v="0"/>
    <x v="0"/>
    <m/>
  </r>
  <r>
    <x v="133"/>
    <s v="Frais de tansfert d'argent à  Evariste"/>
    <s v="Transfer Fees"/>
    <s v="Office"/>
    <x v="263"/>
    <x v="518"/>
    <n v="579.64599999999996"/>
    <s v="Parfaite"/>
    <s v="CA-J-R4"/>
    <s v="PALF"/>
    <x v="1"/>
    <s v="Congo"/>
    <x v="0"/>
    <x v="0"/>
    <m/>
  </r>
  <r>
    <x v="133"/>
    <s v="P29 -CONGO Frais d'hotel du 31/05 au 03/06/2025 à  enyelle (03 Nuitées)"/>
    <s v="Travel Subsistence"/>
    <s v="Investigations"/>
    <x v="22"/>
    <x v="519"/>
    <n v="579.64599999999996"/>
    <s v="P29"/>
    <s v="P19-J-R2"/>
    <s v="PALF"/>
    <x v="1"/>
    <s v="Congo"/>
    <x v="0"/>
    <x v="0"/>
    <m/>
  </r>
  <r>
    <x v="133"/>
    <s v="T73 - CONGO Frais d'hotel du 01 au 03/06/2025 à Enyele (2 nuitées)"/>
    <s v="Travel Subsistence"/>
    <s v="Investigations"/>
    <x v="44"/>
    <x v="448"/>
    <n v="579.64599999999996"/>
    <s v="T73"/>
    <s v="T73-J-R2"/>
    <s v="PALF"/>
    <x v="1"/>
    <s v="Congo"/>
    <x v="0"/>
    <x v="0"/>
    <m/>
  </r>
  <r>
    <x v="133"/>
    <s v="Achat billet : Enyele- Brazzaville/T73"/>
    <s v="Transport"/>
    <s v="Investigations"/>
    <x v="189"/>
    <x v="517"/>
    <n v="579.64599999999996"/>
    <s v="T73"/>
    <s v="T73-J-R3"/>
    <s v="PALF"/>
    <x v="1"/>
    <s v="Congo"/>
    <x v="0"/>
    <x v="0"/>
    <m/>
  </r>
  <r>
    <x v="133"/>
    <s v="Cumul frais de trust building du mois de Juin 2025/IT87"/>
    <s v="Trust Building"/>
    <s v="Investigations"/>
    <x v="120"/>
    <x v="520"/>
    <n v="579.64599999999996"/>
    <s v="IT87"/>
    <s v="IT87-J-D1"/>
    <s v="PALF"/>
    <x v="1"/>
    <s v="Congo"/>
    <x v="0"/>
    <x v="0"/>
    <m/>
  </r>
  <r>
    <x v="133"/>
    <s v="Frais de transport mission Maitre Helene du 04 au 06/06/2025 à Owando"/>
    <s v="Transport"/>
    <s v="Legal"/>
    <x v="0"/>
    <x v="452"/>
    <n v="579.64599999999996"/>
    <s v="Roderlin"/>
    <s v="CA-J-R2"/>
    <s v="PALF"/>
    <x v="1"/>
    <s v="Congo"/>
    <x v="0"/>
    <x v="0"/>
    <m/>
  </r>
  <r>
    <x v="133"/>
    <s v="Ration et frais d'hotel mission maitre Helène du 04 au 06/06/2025 à Owando"/>
    <s v="Travel Subsistence"/>
    <s v="Legal"/>
    <x v="30"/>
    <x v="446"/>
    <n v="579.64599999999996"/>
    <s v="Roderlin"/>
    <s v="CA-J-R3"/>
    <s v="PALF"/>
    <x v="1"/>
    <s v="Congo"/>
    <x v="0"/>
    <x v="0"/>
    <m/>
  </r>
  <r>
    <x v="133"/>
    <s v="Achat billet Brazzaville-Owando"/>
    <s v="Transport"/>
    <s v="Legal"/>
    <x v="12"/>
    <x v="449"/>
    <n v="579.64599999999996"/>
    <s v="Roderlin"/>
    <s v="RO-J-R1"/>
    <s v="PALF"/>
    <x v="1"/>
    <s v="Congo"/>
    <x v="0"/>
    <x v="0"/>
    <m/>
  </r>
  <r>
    <x v="133"/>
    <s v="Frais d'impression de la procédure de la gendarmerie"/>
    <s v="Office Materials"/>
    <s v="Legal"/>
    <x v="264"/>
    <x v="521"/>
    <n v="579.64599999999996"/>
    <s v="Donald-Romeo"/>
    <s v="DR-J-R1"/>
    <s v="PALF"/>
    <x v="1"/>
    <s v="Congo"/>
    <x v="0"/>
    <x v="0"/>
    <m/>
  </r>
  <r>
    <x v="133"/>
    <s v="Achat billet Impfondo-Brazzaville/ Evariste"/>
    <s v="Transport"/>
    <s v="Media"/>
    <x v="188"/>
    <x v="454"/>
    <n v="579.64599999999996"/>
    <s v="Evariste"/>
    <s v="EV-J-R1"/>
    <s v="PALF"/>
    <x v="1"/>
    <s v="Congo"/>
    <x v="0"/>
    <x v="0"/>
    <m/>
  </r>
  <r>
    <x v="133"/>
    <s v="Bonus media portant sur l'interpallation de 03 trafiquants à Impfondo ( Pièces presse internet, pièces presse papier et radio)"/>
    <s v="Bonus to media officer"/>
    <s v="Media"/>
    <x v="265"/>
    <x v="522"/>
    <n v="579.64599999999996"/>
    <s v="Evariste"/>
    <s v="CA-J-D2"/>
    <s v="PALF"/>
    <x v="1"/>
    <s v="Congo"/>
    <x v="0"/>
    <x v="0"/>
    <m/>
  </r>
  <r>
    <x v="133"/>
    <s v="Romain-CONGO: Frais d'hotel du 02 au 03/06/2025 à Enyele (01 Nuitée)"/>
    <s v="Travel Subsistence"/>
    <s v="Legal"/>
    <x v="64"/>
    <x v="455"/>
    <n v="579.64599999999996"/>
    <s v="Romain"/>
    <s v="RM-J-R3"/>
    <s v="PALF"/>
    <x v="1"/>
    <s v="Congo"/>
    <x v="0"/>
    <x v="0"/>
    <m/>
  </r>
  <r>
    <x v="134"/>
    <s v="Règlement Loyer Mai 2025/Coordinateur"/>
    <s v="Personnel"/>
    <s v="Management"/>
    <x v="85"/>
    <x v="523"/>
    <n v="560.94248000000005"/>
    <s v="DOVI"/>
    <s v="DH-J-R1"/>
    <s v="PALF"/>
    <x v="5"/>
    <s v="Congo"/>
    <x v="0"/>
    <x v="0"/>
    <m/>
  </r>
  <r>
    <x v="134"/>
    <s v="CREPIN-CONGO Ration du 04 au 15/06/2025 à Impfondo"/>
    <s v="Travel Subsistence"/>
    <s v="Legal"/>
    <x v="266"/>
    <x v="524"/>
    <n v="579.64599999999996"/>
    <s v="Crepin"/>
    <s v="CR-J-D1"/>
    <s v="PALF"/>
    <x v="1"/>
    <s v="Congo"/>
    <x v="0"/>
    <x v="0"/>
    <m/>
  </r>
  <r>
    <x v="134"/>
    <s v="Achat fournitures de bureau marqueurs, chemise cartonée, enveloppe , facturier/Bureau PALF"/>
    <s v="Office Materials"/>
    <s v="Office"/>
    <x v="267"/>
    <x v="525"/>
    <n v="579.64599999999996"/>
    <s v="Parfaite"/>
    <s v="CA-J-R6"/>
    <s v="PALF"/>
    <x v="1"/>
    <s v="Congo"/>
    <x v="0"/>
    <x v="0"/>
    <m/>
  </r>
  <r>
    <x v="134"/>
    <s v="Frais de tansfert d'argent à  Evariste, Crepin, Romain et Donald-Roméo"/>
    <s v="Transfer Fees"/>
    <s v="Office"/>
    <x v="268"/>
    <x v="526"/>
    <n v="579.64599999999996"/>
    <s v="Abraham"/>
    <s v="CA-J-R5"/>
    <s v="PALF"/>
    <x v="1"/>
    <s v="Congo"/>
    <x v="0"/>
    <x v="0"/>
    <m/>
  </r>
  <r>
    <x v="134"/>
    <s v="RODERLIN-CONGO Ration du 04 au 06/06/2025 à Owando (02 nuitées)"/>
    <s v="Travel Subsistence"/>
    <s v="Legal"/>
    <x v="0"/>
    <x v="452"/>
    <n v="579.64599999999996"/>
    <s v="Roderlin"/>
    <s v="RO-J-D1"/>
    <s v="PALF"/>
    <x v="1"/>
    <s v="Congo"/>
    <x v="0"/>
    <x v="0"/>
    <m/>
  </r>
  <r>
    <x v="134"/>
    <s v="Donald-Roméo-CONGO Ration du 04 au 15/06/2025 à Impfondo"/>
    <s v="Travel Subsistence"/>
    <s v="Legal"/>
    <x v="266"/>
    <x v="524"/>
    <n v="579.64599999999996"/>
    <s v="Donald-Romeo"/>
    <s v="DR-J-D1"/>
    <s v="PALF"/>
    <x v="1"/>
    <s v="Congo"/>
    <x v="0"/>
    <x v="0"/>
    <m/>
  </r>
  <r>
    <x v="134"/>
    <s v="Evariste-CONGO Ration  du 04 au 08 /06/ 2025 à Impfondo"/>
    <s v="Travel Subsistence"/>
    <s v="Media"/>
    <x v="145"/>
    <x v="527"/>
    <n v="579.64599999999996"/>
    <s v="Evariste"/>
    <s v="EV-J-D1"/>
    <s v="PALF"/>
    <x v="1"/>
    <s v="Congo"/>
    <x v="0"/>
    <x v="0"/>
    <m/>
  </r>
  <r>
    <x v="134"/>
    <s v="Reglement Facture Gardiennage Mois de Mai 2025/3654876"/>
    <s v="Rent &amp; Utilities"/>
    <s v="Office"/>
    <x v="10"/>
    <x v="528"/>
    <n v="579.64599999999996"/>
    <s v="BCI"/>
    <s v="BQ-J-R3"/>
    <s v="PALF"/>
    <x v="1"/>
    <s v="Congo"/>
    <x v="0"/>
    <x v="0"/>
    <m/>
  </r>
  <r>
    <x v="135"/>
    <s v="Frais de transport mission Maitre Alain à Impfondo du 01 au 15/06/2025"/>
    <s v="Transport"/>
    <s v="Office"/>
    <x v="122"/>
    <x v="507"/>
    <n v="579.64599999999996"/>
    <s v="Parfaite"/>
    <s v="CA-J-R7"/>
    <s v="PALF"/>
    <x v="1"/>
    <s v="Congo"/>
    <x v="0"/>
    <x v="0"/>
    <m/>
  </r>
  <r>
    <x v="135"/>
    <s v="Ration et frais d'hotel mission maitre Alain à Impfondo du 01 au 15/06/2025"/>
    <s v="Travel Subsistence"/>
    <s v="Legal"/>
    <x v="163"/>
    <x v="529"/>
    <n v="579.64599999999996"/>
    <s v="Parfaite"/>
    <s v="CA-J-R8"/>
    <s v="PALF"/>
    <x v="1"/>
    <s v="Congo"/>
    <x v="0"/>
    <x v="0"/>
    <m/>
  </r>
  <r>
    <x v="135"/>
    <s v="Frais de tansfert d'argent à Romain et Me Alain"/>
    <s v="Transfer Fees"/>
    <s v="Legal"/>
    <x v="269"/>
    <x v="530"/>
    <n v="579.64599999999996"/>
    <s v="Parfaite"/>
    <s v="CA-J-R9"/>
    <s v="PALF"/>
    <x v="1"/>
    <s v="Congo"/>
    <x v="0"/>
    <x v="0"/>
    <m/>
  </r>
  <r>
    <x v="135"/>
    <s v="Frais de tansfert d'argent à Roderlin"/>
    <s v="Transfer Fees"/>
    <s v="Office"/>
    <x v="270"/>
    <x v="531"/>
    <n v="579.64599999999996"/>
    <s v="Parfaite"/>
    <s v="CA-J-R10"/>
    <s v="PALF"/>
    <x v="1"/>
    <s v="Congo"/>
    <x v="0"/>
    <x v="0"/>
    <m/>
  </r>
  <r>
    <x v="135"/>
    <s v="P29 -CONGO Frais d'hotel du 03 au 05/06/2025 à  oyo (02 Nuitées)"/>
    <s v="Travel Subsistence"/>
    <s v="Investigations"/>
    <x v="44"/>
    <x v="448"/>
    <n v="579.64599999999996"/>
    <s v="P29"/>
    <s v="P19-J-R3"/>
    <s v="PALF"/>
    <x v="1"/>
    <s v="Congo"/>
    <x v="0"/>
    <x v="0"/>
    <m/>
  </r>
  <r>
    <x v="135"/>
    <s v="T73 - CONGO Frais d'hotel du 03 au 05/06/2025 (2 nuitées) à Oyo"/>
    <s v="Travel Subsistence"/>
    <s v="Investigations"/>
    <x v="44"/>
    <x v="448"/>
    <n v="579.64599999999996"/>
    <s v="T73"/>
    <s v="T73-J-R4"/>
    <s v="PALF"/>
    <x v="1"/>
    <s v="Congo"/>
    <x v="0"/>
    <x v="0"/>
    <m/>
  </r>
  <r>
    <x v="135"/>
    <s v="Paiement des frais de notification de l'ordonnance de règlement definitif du cas EBI Aimé "/>
    <s v="Court fees"/>
    <s v="Legal"/>
    <x v="7"/>
    <x v="483"/>
    <n v="579.64599999999996"/>
    <s v="Roderlin"/>
    <s v="RO-J-R3"/>
    <s v="PALF"/>
    <x v="1"/>
    <s v="Congo"/>
    <x v="0"/>
    <x v="0"/>
    <m/>
  </r>
  <r>
    <x v="135"/>
    <s v="Reglement loyer du mois de Mai 2025/3654864"/>
    <s v="Rent &amp; Utilities"/>
    <s v="Office"/>
    <x v="9"/>
    <x v="532"/>
    <n v="579.64599999999996"/>
    <s v="BCI"/>
    <s v="BQ-J-R4"/>
    <s v="PALF"/>
    <x v="1"/>
    <s v="Congo"/>
    <x v="0"/>
    <x v="0"/>
    <m/>
  </r>
  <r>
    <x v="136"/>
    <s v="Achat billet Owando- Brazzaville "/>
    <s v="Transport"/>
    <s v="Legal"/>
    <x v="12"/>
    <x v="449"/>
    <n v="579.64599999999996"/>
    <s v="Roderlin"/>
    <s v="RO-J-R2"/>
    <s v="PALF"/>
    <x v="1"/>
    <s v="Congo"/>
    <x v="0"/>
    <x v="0"/>
    <m/>
  </r>
  <r>
    <x v="136"/>
    <s v="Achat carburant groupe electrogène Bureau"/>
    <s v="Office Materials"/>
    <s v="Office"/>
    <x v="71"/>
    <x v="533"/>
    <n v="579.64599999999996"/>
    <s v="T73"/>
    <s v="CA-J-R11"/>
    <s v="PALF"/>
    <x v="1"/>
    <s v="Congo"/>
    <x v="0"/>
    <x v="0"/>
    <m/>
  </r>
  <r>
    <x v="136"/>
    <s v="Paiement frais de formation"/>
    <s v="Training"/>
    <s v="Team Building"/>
    <x v="30"/>
    <x v="446"/>
    <n v="579.64599999999996"/>
    <s v="T73"/>
    <s v="T73-J-R5"/>
    <s v="PALF"/>
    <x v="1"/>
    <s v="Congo"/>
    <x v="0"/>
    <x v="0"/>
    <m/>
  </r>
  <r>
    <x v="136"/>
    <s v="RODERLIN-CONGO frais d'hôtel du 04 au 06/06/2025 à Owando (02 nuitées)"/>
    <s v="Travel Subsistence"/>
    <s v="Legal"/>
    <x v="44"/>
    <x v="448"/>
    <n v="579.64599999999996"/>
    <s v="Roderlin"/>
    <s v="RO-J-R4"/>
    <s v="PALF"/>
    <x v="1"/>
    <s v="Congo"/>
    <x v="0"/>
    <x v="0"/>
    <m/>
  </r>
  <r>
    <x v="136"/>
    <s v="Evariste- CONGO Frais de l'hôtel du 24/05 au 06/06/2025 à Impfondo  ( 13 nuitées) "/>
    <s v="Travel Subsistence"/>
    <s v="Media"/>
    <x v="49"/>
    <x v="534"/>
    <n v="579.64599999999996"/>
    <s v="Evariste"/>
    <s v="EV-J-R2"/>
    <s v="PALF"/>
    <x v="1"/>
    <s v="Congo"/>
    <x v="0"/>
    <x v="0"/>
    <m/>
  </r>
  <r>
    <x v="136"/>
    <s v="Achat billet Impfondo- Brazzaville/ Romain"/>
    <s v="Transport"/>
    <s v="Legal"/>
    <x v="188"/>
    <x v="454"/>
    <n v="579.64599999999996"/>
    <s v="Romain"/>
    <s v="RM-J-R4"/>
    <s v="PALF"/>
    <x v="1"/>
    <s v="Congo"/>
    <x v="0"/>
    <x v="0"/>
    <m/>
  </r>
  <r>
    <x v="136"/>
    <s v="Romain-CONGO: Frais d'hotel du 03 au 06/06/2025 à Impfondo (03 Nuitée)"/>
    <s v="Travel Subsistence"/>
    <s v="Legal"/>
    <x v="22"/>
    <x v="519"/>
    <n v="579.64599999999996"/>
    <s v="Romain"/>
    <s v="RM-J-R5"/>
    <s v="PALF"/>
    <x v="1"/>
    <s v="Congo"/>
    <x v="0"/>
    <x v="0"/>
    <m/>
  </r>
  <r>
    <x v="136"/>
    <s v="Reglement honoraire du mois de de Mai 2025/P29/3654880"/>
    <s v="Personnel"/>
    <s v="Investigations"/>
    <x v="271"/>
    <x v="535"/>
    <n v="560.94248000000005"/>
    <s v="BCI"/>
    <s v="BQ-J-R5"/>
    <s v="PALF"/>
    <x v="5"/>
    <s v="Congo"/>
    <x v="0"/>
    <x v="0"/>
    <m/>
  </r>
  <r>
    <x v="136"/>
    <s v="Reglement honoraire du mois de Mai 2025/T73/3654881"/>
    <s v="Personnel"/>
    <s v="Investigations"/>
    <x v="272"/>
    <x v="536"/>
    <n v="560.94248000000005"/>
    <s v="BCI"/>
    <s v="BQ-J-R6"/>
    <s v="PALF"/>
    <x v="5"/>
    <s v="Congo"/>
    <x v="0"/>
    <x v="0"/>
    <m/>
  </r>
  <r>
    <x v="137"/>
    <s v="Evariste- CONGO Frais de l'hôtel du 06 au 07/06/ 2025 à Enyele (01 nuitée) "/>
    <s v="Travel Subsistence"/>
    <s v="Media"/>
    <x v="64"/>
    <x v="455"/>
    <n v="579.64599999999996"/>
    <s v="Evariste"/>
    <s v="EV-J-R3"/>
    <s v="PALF"/>
    <x v="1"/>
    <s v="Congo"/>
    <x v="0"/>
    <x v="0"/>
    <m/>
  </r>
  <r>
    <x v="137"/>
    <s v="ROMAIN-CONGO: Frais d'hotel  du 06 au 07/06/2025 à Enyele (01nuitées)"/>
    <s v="Travel Subsistence"/>
    <s v="Legal"/>
    <x v="64"/>
    <x v="455"/>
    <n v="579.64599999999996"/>
    <s v="Romain"/>
    <s v="RM-J-R6"/>
    <s v="PALF"/>
    <x v="1"/>
    <s v="Congo"/>
    <x v="0"/>
    <x v="0"/>
    <m/>
  </r>
  <r>
    <x v="138"/>
    <s v="Evariste- CONGO Frais de l'hôtel du 07 au 08/06/2025 à Gamboma (01 nuitée)"/>
    <s v="Travel Subsistence"/>
    <s v="Media"/>
    <x v="64"/>
    <x v="455"/>
    <n v="579.64599999999996"/>
    <s v="Evariste"/>
    <s v="EV-J-R4"/>
    <s v="PALF"/>
    <x v="1"/>
    <s v="Congo"/>
    <x v="0"/>
    <x v="0"/>
    <m/>
  </r>
  <r>
    <x v="138"/>
    <s v="ROMAIN-CONGO: Frais d'hotel  du 07 au 08/06/2025 Gamboma (01nuitées)"/>
    <s v="Travel Subsistence"/>
    <s v="Legal"/>
    <x v="64"/>
    <x v="455"/>
    <n v="579.64599999999996"/>
    <s v="Romain"/>
    <s v="RM-J-R7"/>
    <s v="PALF"/>
    <x v="1"/>
    <s v="Congo"/>
    <x v="0"/>
    <x v="0"/>
    <m/>
  </r>
  <r>
    <x v="139"/>
    <s v="Achat billet Brazzaville-Owando"/>
    <s v="Transport"/>
    <s v="Legal"/>
    <x v="12"/>
    <x v="449"/>
    <n v="579.64599999999996"/>
    <s v="Roderlin"/>
    <s v="RO-J-R5"/>
    <s v="PALF"/>
    <x v="1"/>
    <s v="Congo"/>
    <x v="0"/>
    <x v="0"/>
    <m/>
  </r>
  <r>
    <x v="139"/>
    <s v="Frais de transport mission Maitre Hélene  du 11 au 14/06/2025 à Owando"/>
    <s v="Transport"/>
    <s v="Legal"/>
    <x v="273"/>
    <x v="537"/>
    <n v="579.64599999999996"/>
    <s v="Roderlin"/>
    <s v="CA-J-R12"/>
    <s v="PALF"/>
    <x v="1"/>
    <s v="Congo"/>
    <x v="0"/>
    <x v="0"/>
    <m/>
  </r>
  <r>
    <x v="139"/>
    <s v="Ration et frais d'hotel mission maitre Hélène du 11 au 14/06/2025 à Owando"/>
    <s v="Travel Subsistence"/>
    <s v="Legal"/>
    <x v="116"/>
    <x v="481"/>
    <n v="579.64599999999996"/>
    <s v="Roderlin"/>
    <s v="CA-J-R13"/>
    <s v="PALF"/>
    <x v="1"/>
    <s v="Congo"/>
    <x v="0"/>
    <x v="0"/>
    <m/>
  </r>
  <r>
    <x v="140"/>
    <s v="Bonus du mois de Mai 2025/Abraham"/>
    <s v="Personnel"/>
    <s v="Legal"/>
    <x v="44"/>
    <x v="448"/>
    <n v="560.94248000000005"/>
    <s v="Abraham"/>
    <s v="CA-J-D3"/>
    <s v="PALF"/>
    <x v="5"/>
    <s v="Congo"/>
    <x v="0"/>
    <x v="0"/>
    <m/>
  </r>
  <r>
    <x v="140"/>
    <s v="Achat billet Brazzaville-Loudima/Abraham"/>
    <s v="Transport"/>
    <s v="Legal"/>
    <x v="37"/>
    <x v="447"/>
    <n v="579.64599999999996"/>
    <s v="Abraham"/>
    <s v="AB-J-R1"/>
    <s v="PALF"/>
    <x v="1"/>
    <s v="Congo"/>
    <x v="0"/>
    <x v="0"/>
    <m/>
  </r>
  <r>
    <x v="141"/>
    <s v="ABRAHAM - CONGO Ration du 11 au 13/06/2025 à Sibiti (02 Nuitées)"/>
    <s v="Travel Subsistence"/>
    <s v="Legal"/>
    <x v="44"/>
    <x v="448"/>
    <n v="579.64599999999996"/>
    <s v="Abraham"/>
    <s v="AB-J-D1"/>
    <s v="PALF"/>
    <x v="1"/>
    <s v="Congo"/>
    <x v="0"/>
    <x v="0"/>
    <m/>
  </r>
  <r>
    <x v="141"/>
    <s v="Taxi: Loudima-Sibiti"/>
    <s v="Transport"/>
    <s v="Legal"/>
    <x v="101"/>
    <x v="453"/>
    <n v="579.64599999999996"/>
    <s v="Abraham"/>
    <s v="AB-J-R2"/>
    <s v="PALF"/>
    <x v="1"/>
    <s v="Congo"/>
    <x v="0"/>
    <x v="0"/>
    <m/>
  </r>
  <r>
    <x v="141"/>
    <s v="RODERLIN-CONGO Ration du 11 au 14/06/2025 à Owando (03 nuitées)"/>
    <s v="Travel Subsistence"/>
    <s v="Legal"/>
    <x v="44"/>
    <x v="448"/>
    <n v="579.64599999999996"/>
    <s v="Roderlin"/>
    <s v="RO-J-D2"/>
    <s v="PALF"/>
    <x v="1"/>
    <s v="Congo"/>
    <x v="0"/>
    <x v="0"/>
    <m/>
  </r>
  <r>
    <x v="141"/>
    <s v="Bonus du mois de Mai 2025/Evariste"/>
    <s v="Personnel"/>
    <s v="Media"/>
    <x v="0"/>
    <x v="452"/>
    <n v="560.94248000000005"/>
    <s v="Evariste"/>
    <s v="CA-J-D4"/>
    <s v="PALF"/>
    <x v="5"/>
    <s v="Congo"/>
    <x v="0"/>
    <x v="0"/>
    <m/>
  </r>
  <r>
    <x v="141"/>
    <s v="Bonus opération du 27/05/2025 à Impfondo/Evariste"/>
    <s v="Bonus"/>
    <s v="Operations"/>
    <x v="145"/>
    <x v="527"/>
    <n v="579.64599999999996"/>
    <s v="Evariste"/>
    <s v="CA-J-D5"/>
    <s v="PALF"/>
    <x v="1"/>
    <s v="Congo"/>
    <x v="0"/>
    <x v="0"/>
    <m/>
  </r>
  <r>
    <x v="141"/>
    <s v="Cumul frais de transport local du mois de Juin 2025/Romain"/>
    <s v="Transport"/>
    <s v="Legal"/>
    <x v="274"/>
    <x v="538"/>
    <n v="579.64599999999996"/>
    <s v="Romain"/>
    <s v="RM-J-D2"/>
    <s v="PALF"/>
    <x v="1"/>
    <s v="Congo"/>
    <x v="0"/>
    <x v="0"/>
    <m/>
  </r>
  <r>
    <x v="141"/>
    <s v="Frais de tansfert d'argent à Crépin et Donald-Roméo"/>
    <s v="Transfer Fees"/>
    <s v="Office"/>
    <x v="36"/>
    <x v="539"/>
    <n v="579.64599999999996"/>
    <s v="Romain"/>
    <s v="CA-J-R14"/>
    <s v="PALF"/>
    <x v="1"/>
    <s v="Congo"/>
    <x v="0"/>
    <x v="0"/>
    <m/>
  </r>
  <r>
    <x v="141"/>
    <s v="Bonus du mois de Mai 2025/Romain"/>
    <s v="Personnel"/>
    <s v="Legal"/>
    <x v="44"/>
    <x v="448"/>
    <n v="560.94248000000005"/>
    <s v="Romain"/>
    <s v="CA-J-D6"/>
    <s v="PALF"/>
    <x v="5"/>
    <s v="Congo"/>
    <x v="0"/>
    <x v="0"/>
    <m/>
  </r>
  <r>
    <x v="141"/>
    <s v="Prime du 13 eme Mois 2024/Romain"/>
    <s v="Personnel"/>
    <s v="Legal"/>
    <x v="68"/>
    <x v="540"/>
    <n v="560.94248000000005"/>
    <s v="Romain"/>
    <s v="CA-J-D7"/>
    <s v="PALF"/>
    <x v="5"/>
    <s v="Congo"/>
    <x v="0"/>
    <x v="0"/>
    <m/>
  </r>
  <r>
    <x v="142"/>
    <s v="Achat de 02 petit telephone bureau PALF"/>
    <s v="Equipment"/>
    <s v="Office"/>
    <x v="122"/>
    <x v="507"/>
    <n v="579.64599999999996"/>
    <s v="Parfaite"/>
    <s v="CA-J-R15"/>
    <s v="PALF"/>
    <x v="1"/>
    <s v="Congo"/>
    <x v="0"/>
    <x v="0"/>
    <m/>
  </r>
  <r>
    <x v="142"/>
    <s v="Bonus du mois de Mai 2025/Parfaite"/>
    <s v="Personnel"/>
    <s v="Management"/>
    <x v="44"/>
    <x v="448"/>
    <n v="560.94248000000005"/>
    <s v="Parfaite"/>
    <s v="CA-J-D8"/>
    <s v="PALF"/>
    <x v="5"/>
    <s v="Congo"/>
    <x v="0"/>
    <x v="0"/>
    <m/>
  </r>
  <r>
    <x v="142"/>
    <s v="Paiement salaire du mois de Mai 2025/LOUNDOU JeanRomain/3654891"/>
    <s v="Personnel"/>
    <s v="Legal"/>
    <x v="275"/>
    <x v="541"/>
    <n v="560.94248000000005"/>
    <s v="BCI"/>
    <s v="BQ-J-R7"/>
    <s v="PALF"/>
    <x v="5"/>
    <s v="Congo"/>
    <x v="0"/>
    <x v="0"/>
    <m/>
  </r>
  <r>
    <x v="143"/>
    <s v="Achat billet Impfondo-Brazzaville/Donald-Roméo"/>
    <s v="Transport "/>
    <s v="Legal"/>
    <x v="188"/>
    <x v="454"/>
    <n v="579.64599999999996"/>
    <s v="Donald-Romeo"/>
    <s v="DR-J-R2"/>
    <s v="PALF"/>
    <x v="1"/>
    <s v="Congo"/>
    <x v="0"/>
    <x v="0"/>
    <m/>
  </r>
  <r>
    <x v="143"/>
    <s v="Achat Billet Impfondo-Brazzaville/ Crepin"/>
    <s v="Transport"/>
    <s v="Legal"/>
    <x v="188"/>
    <x v="454"/>
    <n v="579.64599999999996"/>
    <s v="Crepin"/>
    <s v="CR-J-R1"/>
    <s v="PALF"/>
    <x v="1"/>
    <s v="Congo"/>
    <x v="0"/>
    <x v="0"/>
    <m/>
  </r>
  <r>
    <x v="143"/>
    <s v=" Crepin-CONGO Frais d'hôtel du 27/05 au 13/06 2025  à Impfondo (17 Nuitées)"/>
    <s v="Travel Subsistence"/>
    <s v="Legal"/>
    <x v="89"/>
    <x v="542"/>
    <n v="579.64599999999996"/>
    <s v="Crepin"/>
    <s v="CR-J-R2"/>
    <s v="PALF"/>
    <x v="1"/>
    <s v="Congo"/>
    <x v="0"/>
    <x v="0"/>
    <m/>
  </r>
  <r>
    <x v="143"/>
    <s v="Frais de tansfert d'argent à Roderlin et Abraham"/>
    <s v="Transfer Fees"/>
    <s v="Office"/>
    <x v="276"/>
    <x v="543"/>
    <n v="579.64599999999996"/>
    <s v="Parfaite"/>
    <s v="CA-J-R16"/>
    <s v="PALF"/>
    <x v="1"/>
    <s v="Congo"/>
    <x v="0"/>
    <x v="0"/>
    <m/>
  </r>
  <r>
    <x v="143"/>
    <s v="Donald Roméo-CONGO Frais d'hôtel du 16/05 au 13/06/2025 à Impfondo ( 28 Nuitées )"/>
    <s v="Travel Subsistence"/>
    <s v="Legal"/>
    <x v="277"/>
    <x v="544"/>
    <n v="579.64599999999996"/>
    <s v="Donald-Romeo"/>
    <s v="DR-J-R3"/>
    <s v="PALF"/>
    <x v="1"/>
    <s v="Congo"/>
    <x v="0"/>
    <x v="0"/>
    <m/>
  </r>
  <r>
    <x v="144"/>
    <s v="Achat billet Owando- Brazzaville "/>
    <s v="Transport"/>
    <s v="Legal"/>
    <x v="12"/>
    <x v="449"/>
    <n v="579.64599999999996"/>
    <s v="Roderlin"/>
    <s v="RO-J-R6"/>
    <s v="PALF"/>
    <x v="1"/>
    <s v="Congo"/>
    <x v="0"/>
    <x v="0"/>
    <m/>
  </r>
  <r>
    <x v="144"/>
    <s v="Crépin-CONGO Frais d'hôtel du 13 au 14/06/2025 à Enyele (01 nuitée)"/>
    <s v="Travel Subsistence"/>
    <s v="Legal"/>
    <x v="64"/>
    <x v="455"/>
    <n v="579.64599999999996"/>
    <s v="Crepin"/>
    <s v="CR-J-R3"/>
    <s v="PALF"/>
    <x v="1"/>
    <s v="Congo"/>
    <x v="0"/>
    <x v="0"/>
    <m/>
  </r>
  <r>
    <x v="144"/>
    <s v="ABRAHAM - CONGO frais d'Hôtel (Hôtel Le Papyrus) du 11 au 14/06/2025 à Sibiti (03 Nuitées)"/>
    <s v="Travel Subsistence"/>
    <s v="Legal"/>
    <x v="22"/>
    <x v="519"/>
    <n v="579.64599999999996"/>
    <s v="Abraham"/>
    <s v="AB-J-R3"/>
    <s v="PALF"/>
    <x v="1"/>
    <s v="Congo"/>
    <x v="0"/>
    <x v="0"/>
    <m/>
  </r>
  <r>
    <x v="144"/>
    <s v="Taxi: Sibiti-Nkayi"/>
    <s v="Transport"/>
    <s v="Legal"/>
    <x v="31"/>
    <x v="463"/>
    <n v="579.64599999999996"/>
    <s v="Abraham"/>
    <s v="AB-J-R4"/>
    <s v="PALF"/>
    <x v="1"/>
    <s v="Congo"/>
    <x v="0"/>
    <x v="0"/>
    <m/>
  </r>
  <r>
    <x v="144"/>
    <s v="Achat Billet Nkayi-Brazzaville"/>
    <s v="Transport"/>
    <s v="Legal"/>
    <x v="12"/>
    <x v="449"/>
    <n v="579.64599999999996"/>
    <s v="Abraham"/>
    <s v="AB-J-R5"/>
    <s v="PALF"/>
    <x v="1"/>
    <s v="Congo"/>
    <x v="0"/>
    <x v="0"/>
    <m/>
  </r>
  <r>
    <x v="144"/>
    <s v="RODERLIN-CONGO frais d'hôtel du 11 au 14/06/2025 à Owando (03 nuitées)"/>
    <s v="Travel Subsistence"/>
    <s v="Legal"/>
    <x v="22"/>
    <x v="519"/>
    <n v="579.64599999999996"/>
    <s v="Roderlin"/>
    <s v="RO-J-R7"/>
    <s v="PALF"/>
    <x v="1"/>
    <s v="Congo"/>
    <x v="0"/>
    <x v="0"/>
    <m/>
  </r>
  <r>
    <x v="144"/>
    <s v="Donald Roméo- CONGO Frais d'hôtel du 13 au 14/06/2025 à Enyele ( 01 Nuitée)"/>
    <s v="Travel Subsistence"/>
    <s v="Legal"/>
    <x v="64"/>
    <x v="455"/>
    <n v="579.64599999999996"/>
    <s v="Donald-Romeo"/>
    <s v="DR-J-R4"/>
    <s v="PALF"/>
    <x v="1"/>
    <s v="Congo"/>
    <x v="0"/>
    <x v="0"/>
    <m/>
  </r>
  <r>
    <x v="145"/>
    <s v="Frais d'Hôtel, Crépin-CONGO Frais d'hôtel du 14 au 15/06/2025 à Oyo (01 Nuitée )"/>
    <s v="Travel Subsistence"/>
    <s v="Legal"/>
    <x v="64"/>
    <x v="455"/>
    <n v="579.64599999999996"/>
    <s v="Crepin"/>
    <s v="CR-J-R4"/>
    <s v="PALF"/>
    <x v="1"/>
    <s v="Congo"/>
    <x v="0"/>
    <x v="0"/>
    <m/>
  </r>
  <r>
    <x v="145"/>
    <s v="Donald Roméo- CONGO Frais d'hôtel du 14 au 15/06/2025 à Oyo  01 Nuitée)"/>
    <s v="Travel Subsistence"/>
    <s v="Legal"/>
    <x v="64"/>
    <x v="455"/>
    <n v="579.64599999999996"/>
    <s v="Donald-Romeo"/>
    <s v="DR-J-R5"/>
    <s v="PALF"/>
    <x v="1"/>
    <s v="Congo"/>
    <x v="0"/>
    <x v="0"/>
    <m/>
  </r>
  <r>
    <x v="146"/>
    <s v="Credit telephonique MTN PALF/Deuxième partie du mois de Juin 2025/DOVI"/>
    <s v="Telephone"/>
    <s v="Management"/>
    <x v="4"/>
    <x v="444"/>
    <n v="579.64599999999996"/>
    <s v="DOVI"/>
    <s v="DH-J-R2"/>
    <s v="PALF"/>
    <x v="1"/>
    <s v="Congo"/>
    <x v="0"/>
    <x v="0"/>
    <m/>
  </r>
  <r>
    <x v="146"/>
    <s v="Bonus du mois de Mai 2025/Crepin"/>
    <s v="Personnel"/>
    <s v="Legal"/>
    <x v="44"/>
    <x v="448"/>
    <n v="560.94248000000005"/>
    <s v="Crepin"/>
    <s v="CA-J-D9"/>
    <s v="PALF"/>
    <x v="5"/>
    <s v="Congo"/>
    <x v="0"/>
    <x v="0"/>
    <m/>
  </r>
  <r>
    <x v="146"/>
    <s v="Bonus operation du 27/05/2025 à Impfondo/Crepin"/>
    <s v="Bonus"/>
    <s v="Operations"/>
    <x v="30"/>
    <x v="446"/>
    <n v="579.64599999999996"/>
    <s v="Crepin"/>
    <s v="CA-J-D10"/>
    <s v="PALF"/>
    <x v="1"/>
    <s v="Congo"/>
    <x v="0"/>
    <x v="0"/>
    <m/>
  </r>
  <r>
    <x v="146"/>
    <s v="Credit teléphonique MTN PALF/Deuxième partie du mois de Juin 2025/Crepin"/>
    <s v="Telephone"/>
    <s v="Legal"/>
    <x v="31"/>
    <x v="463"/>
    <n v="579.64599999999996"/>
    <s v="Crepin"/>
    <s v="CR-J-R5"/>
    <s v="PALF"/>
    <x v="1"/>
    <s v="Congo"/>
    <x v="0"/>
    <x v="0"/>
    <m/>
  </r>
  <r>
    <x v="146"/>
    <s v="Credit teléphonique AIRTEL PALF/Deuxième partie du mois de Juin 2025/Crepin"/>
    <s v="Telephone"/>
    <s v="Legal"/>
    <x v="31"/>
    <x v="463"/>
    <n v="579.64599999999996"/>
    <s v="Crepin"/>
    <s v="CR-J-R6"/>
    <s v="PALF"/>
    <x v="1"/>
    <s v="Congo"/>
    <x v="0"/>
    <x v="0"/>
    <m/>
  </r>
  <r>
    <x v="146"/>
    <s v="Credit teléphonique MTN PALF/Deuxième partie du mois de Juin 2025/ Parfaite"/>
    <s v="Telephone"/>
    <s v="Management"/>
    <x v="4"/>
    <x v="444"/>
    <n v="579.64599999999996"/>
    <s v="Parfaite"/>
    <s v="P-J-R1"/>
    <s v="PALF"/>
    <x v="1"/>
    <s v="Congo"/>
    <x v="0"/>
    <x v="0"/>
    <m/>
  </r>
  <r>
    <x v="146"/>
    <s v="Credit teléphonique MTN PALF/Deuxième partie du mois de Juin 2025/P29"/>
    <s v="Telephone"/>
    <s v="Investigations"/>
    <x v="4"/>
    <x v="444"/>
    <n v="579.64599999999996"/>
    <s v="P29"/>
    <s v="P19-J-R4"/>
    <s v="PALF"/>
    <x v="1"/>
    <s v="Congo"/>
    <x v="0"/>
    <x v="0"/>
    <m/>
  </r>
  <r>
    <x v="146"/>
    <s v="credit teléphonique AIRTEL PALF/Deuxième partie du mois de Juin 2025/P29"/>
    <s v="Telephone"/>
    <s v="Investigations"/>
    <x v="31"/>
    <x v="463"/>
    <n v="579.64599999999996"/>
    <s v="P29"/>
    <s v="P19-J-R5"/>
    <s v="PALF"/>
    <x v="1"/>
    <s v="Congo"/>
    <x v="0"/>
    <x v="0"/>
    <m/>
  </r>
  <r>
    <x v="146"/>
    <s v="Crédit teléphonique MTN PALF/Deuxième partie du mois de Juin 2025"/>
    <s v="Telephone"/>
    <s v="Investigations"/>
    <x v="64"/>
    <x v="455"/>
    <n v="579.64599999999996"/>
    <s v="T73"/>
    <s v="T73-J-R6"/>
    <s v="PALF"/>
    <x v="1"/>
    <s v="Congo"/>
    <x v="0"/>
    <x v="0"/>
    <m/>
  </r>
  <r>
    <x v="146"/>
    <s v="Credit teléphonique MTN PALF / Deuxième partie du mois de Juin 2025/ IT87"/>
    <s v="Telephone"/>
    <s v="Investigations"/>
    <x v="64"/>
    <x v="455"/>
    <n v="579.64599999999996"/>
    <s v="IT87"/>
    <s v="IT87-J-R1"/>
    <s v="PALF"/>
    <x v="1"/>
    <s v="Congo"/>
    <x v="0"/>
    <x v="0"/>
    <m/>
  </r>
  <r>
    <x v="146"/>
    <s v="Credit télephonique MTN PALF/Deuxième partie du mois de Juin 2025/G12"/>
    <s v="Telephone"/>
    <s v="Investigations"/>
    <x v="31"/>
    <x v="463"/>
    <n v="579.64599999999996"/>
    <s v="G12"/>
    <s v="G12-J-R1"/>
    <s v="PALF"/>
    <x v="1"/>
    <s v="Congo"/>
    <x v="0"/>
    <x v="0"/>
    <m/>
  </r>
  <r>
    <x v="146"/>
    <s v="Credit télephonique AIRTEL PALF/Deuxième partie du mois de Juin 2025/G12"/>
    <s v="Telephone"/>
    <s v="Investigations"/>
    <x v="4"/>
    <x v="444"/>
    <n v="579.64599999999996"/>
    <s v="G12"/>
    <s v="G12-J-R2"/>
    <s v="PALF"/>
    <x v="1"/>
    <s v="Congo"/>
    <x v="0"/>
    <x v="0"/>
    <m/>
  </r>
  <r>
    <x v="146"/>
    <s v="Credit teléphonique MTN PALF/ Deuxième partie du mois de Juin 2025/ Abraham"/>
    <s v="Telephone"/>
    <s v="Legal"/>
    <x v="31"/>
    <x v="463"/>
    <n v="579.64599999999996"/>
    <s v="Abraham"/>
    <s v="AB-J-R6"/>
    <s v="PALF"/>
    <x v="1"/>
    <s v="Congo"/>
    <x v="0"/>
    <x v="0"/>
    <m/>
  </r>
  <r>
    <x v="146"/>
    <s v="Credit teléphonique AIRTEL PALF/ Deuxième partie du mois de Juin 2025/ Abraham"/>
    <s v="Telephone"/>
    <s v="Legal"/>
    <x v="31"/>
    <x v="463"/>
    <n v="579.64599999999996"/>
    <s v="Abraham"/>
    <s v="AB-J-R7"/>
    <s v="PALF"/>
    <x v="1"/>
    <s v="Congo"/>
    <x v="0"/>
    <x v="0"/>
    <m/>
  </r>
  <r>
    <x v="146"/>
    <s v="Credit teléphonique MTN PALF/Deuxième partie du mois de Juin 2025/Roderlin"/>
    <s v="Telephone"/>
    <s v="Legal"/>
    <x v="4"/>
    <x v="444"/>
    <n v="579.64599999999996"/>
    <s v="Roderlin"/>
    <s v="RO-J-R8"/>
    <s v="PALF"/>
    <x v="1"/>
    <s v="Congo"/>
    <x v="0"/>
    <x v="0"/>
    <m/>
  </r>
  <r>
    <x v="146"/>
    <s v="Bonus du mois de Mai 2025/Roderlin"/>
    <s v="Personnel"/>
    <s v="Legal"/>
    <x v="44"/>
    <x v="448"/>
    <n v="560.94248000000005"/>
    <s v="Roderlin"/>
    <s v="CA-J-D13"/>
    <s v="PALF"/>
    <x v="5"/>
    <s v="Congo"/>
    <x v="0"/>
    <x v="0"/>
    <m/>
  </r>
  <r>
    <x v="146"/>
    <s v="Credit teléphonique MTN PALF/Dexième partie du mois de Juin 2025/Donald-Roméo"/>
    <s v="Telephone"/>
    <s v="Legal"/>
    <x v="4"/>
    <x v="444"/>
    <n v="579.64599999999996"/>
    <s v="Donald-Romeo"/>
    <s v="DR-J-R6"/>
    <s v="PALF"/>
    <x v="1"/>
    <s v="Congo"/>
    <x v="0"/>
    <x v="0"/>
    <m/>
  </r>
  <r>
    <x v="146"/>
    <s v="Bonus du mois de Mai 2025/Donald-Roméo"/>
    <s v="Personnel"/>
    <s v="Legal"/>
    <x v="44"/>
    <x v="448"/>
    <n v="560.94248000000005"/>
    <s v="Donald-Romeo"/>
    <s v="CA-J-D11"/>
    <s v="PALF"/>
    <x v="5"/>
    <s v="Congo"/>
    <x v="0"/>
    <x v="0"/>
    <m/>
  </r>
  <r>
    <x v="146"/>
    <s v="Bonus operation du 27/05/2025 à Impfondo/Donald-Roméo"/>
    <s v="Bonus"/>
    <s v="Operations"/>
    <x v="145"/>
    <x v="527"/>
    <n v="579.64599999999996"/>
    <s v="Donald-Romeo"/>
    <s v="CA-J-D12"/>
    <s v="PALF"/>
    <x v="1"/>
    <s v="Congo"/>
    <x v="0"/>
    <x v="0"/>
    <m/>
  </r>
  <r>
    <x v="146"/>
    <s v="Credit teléphonique MTN PALF/ Deuxième partie du mois de Juin 2025"/>
    <s v="Telephone"/>
    <s v="Media"/>
    <x v="4"/>
    <x v="444"/>
    <n v="579.64599999999996"/>
    <s v="Evariste"/>
    <s v="EV-J-R5"/>
    <s v="PALF"/>
    <x v="1"/>
    <s v="Congo"/>
    <x v="0"/>
    <x v="0"/>
    <m/>
  </r>
  <r>
    <x v="146"/>
    <s v="Acompte honoraire contrat N°84 Impfondo cas MBEKELE, MOUANDOLA et EBOUZI/Maitre Marie Alain BAZOUNZI/ 3654883"/>
    <s v="Lawyer Fees"/>
    <s v="Legal"/>
    <x v="58"/>
    <x v="467"/>
    <n v="579.64599999999996"/>
    <s v="BCI"/>
    <s v="BQ-J-R8"/>
    <s v="PALF"/>
    <x v="1"/>
    <s v="Congo"/>
    <x v="0"/>
    <x v="0"/>
    <m/>
  </r>
  <r>
    <x v="146"/>
    <s v="Solde  honoraire contrat n°78 Sibiti cas BOUTSANA et KAMBOU/ Maître BANZOUZI Alain/3654882"/>
    <s v="Lawyer Fees"/>
    <s v="Legal"/>
    <x v="8"/>
    <x v="470"/>
    <n v="579.64599999999996"/>
    <s v="BCI"/>
    <s v="BQ-J-R9"/>
    <s v="PALF"/>
    <x v="1"/>
    <s v="Congo"/>
    <x v="0"/>
    <x v="0"/>
    <m/>
  </r>
  <r>
    <x v="147"/>
    <s v="Achat billet Brazzaville-Dolisie/Abraham"/>
    <s v="Transport"/>
    <s v="Legal"/>
    <x v="37"/>
    <x v="447"/>
    <n v="579.64599999999996"/>
    <s v="Abraham"/>
    <s v="AB-J-R8"/>
    <s v="PALF"/>
    <x v="1"/>
    <s v="Congo"/>
    <x v="0"/>
    <x v="0"/>
    <m/>
  </r>
  <r>
    <x v="147"/>
    <s v="Frais de transport mission Maitre Alain à Dolisie du 18 au 20/06/2025"/>
    <s v="Transport"/>
    <s v="Legal"/>
    <x v="127"/>
    <x v="445"/>
    <n v="579.64599999999996"/>
    <s v="Abraham"/>
    <s v="CA-J-R17"/>
    <s v="PALF"/>
    <x v="1"/>
    <s v="Congo"/>
    <x v="0"/>
    <x v="0"/>
    <m/>
  </r>
  <r>
    <x v="147"/>
    <s v="Ration et frais d'hotel mission maitre Alain à Dolisie du 18 au 20/06/2025"/>
    <s v="Travel Subsistence"/>
    <s v="Legal"/>
    <x v="30"/>
    <x v="446"/>
    <n v="579.64599999999996"/>
    <s v="Abraham"/>
    <s v="CA-J-R18"/>
    <s v="PALF"/>
    <x v="1"/>
    <s v="Congo"/>
    <x v="0"/>
    <x v="0"/>
    <m/>
  </r>
  <r>
    <x v="148"/>
    <s v="Cumul frais de transport local du mois de Juin 2025/Crepin"/>
    <s v="Transport"/>
    <s v="Legal"/>
    <x v="268"/>
    <x v="526"/>
    <n v="579.64599999999996"/>
    <s v="Crepin"/>
    <s v="CR-J-D2"/>
    <s v="PALF"/>
    <x v="1"/>
    <s v="Congo"/>
    <x v="0"/>
    <x v="0"/>
    <m/>
  </r>
  <r>
    <x v="148"/>
    <s v="ABRAHAM - CONGO Ration du 18 au 20/06/2025 à Dolisie (02 Nuitées)"/>
    <s v="Travel Subsistence"/>
    <s v="Legal"/>
    <x v="0"/>
    <x v="452"/>
    <n v="579.64599999999996"/>
    <s v="Abraham"/>
    <s v="AB-J-D2"/>
    <s v="PALF"/>
    <x v="1"/>
    <s v="Congo"/>
    <x v="0"/>
    <x v="0"/>
    <m/>
  </r>
  <r>
    <x v="149"/>
    <s v="Cumul frais de Jail visits du mois de Juin 2025/Abraham"/>
    <s v="Jail visit"/>
    <s v="Legal"/>
    <x v="278"/>
    <x v="545"/>
    <n v="579.64599999999996"/>
    <s v="Abraham"/>
    <s v="AB-J-D3"/>
    <s v="PALF"/>
    <x v="1"/>
    <s v="Congo"/>
    <x v="0"/>
    <x v="0"/>
    <m/>
  </r>
  <r>
    <x v="149"/>
    <s v="Bonus media portant sur l'annonce de laudience du 19 Juin 2025 à Brazzaville et à Dolisie( Pièces presse internet, Pièces presse papier et radio)"/>
    <s v="Bonus to media officer"/>
    <s v="Media"/>
    <x v="279"/>
    <x v="546"/>
    <n v="579.64599999999996"/>
    <s v="Evariste"/>
    <s v="CA-J-D14"/>
    <s v="PALF"/>
    <x v="1"/>
    <s v="Congo"/>
    <x v="0"/>
    <x v="0"/>
    <m/>
  </r>
  <r>
    <x v="150"/>
    <s v="ABRAHAM - CONGO Frais d'Hôtel (Hôtel La Gloire) du 18 au 20/06/2025 à Dolisie (02 Nuitées)"/>
    <s v="Travel Subsistence"/>
    <s v="Legal"/>
    <x v="44"/>
    <x v="448"/>
    <n v="579.64599999999996"/>
    <s v="Abraham"/>
    <s v="AB-J-R9"/>
    <s v="PALF"/>
    <x v="1"/>
    <s v="Congo"/>
    <x v="0"/>
    <x v="0"/>
    <m/>
  </r>
  <r>
    <x v="150"/>
    <s v="Achat eau mineral 10 Litres/Bureau"/>
    <s v="Office Materials"/>
    <s v="Office"/>
    <x v="7"/>
    <x v="483"/>
    <n v="579.64599999999996"/>
    <s v="Parfaite"/>
    <s v="CA-J-R19"/>
    <s v="PALF"/>
    <x v="1"/>
    <s v="Congo"/>
    <x v="0"/>
    <x v="0"/>
    <m/>
  </r>
  <r>
    <x v="150"/>
    <s v="Cumul frais de transport local du mois de Juin  2025/P29"/>
    <s v="Transport"/>
    <s v="Investigations"/>
    <x v="280"/>
    <x v="547"/>
    <n v="579.64599999999996"/>
    <s v="P29"/>
    <s v="P29-J-D1"/>
    <s v="PALF"/>
    <x v="1"/>
    <s v="Congo"/>
    <x v="0"/>
    <x v="0"/>
    <m/>
  </r>
  <r>
    <x v="150"/>
    <s v="Cumul frais de trust builfing du mois de Juin  2025/P29"/>
    <s v="Trust Building"/>
    <s v="Investigations"/>
    <x v="33"/>
    <x v="548"/>
    <n v="579.64599999999996"/>
    <s v="P29"/>
    <s v="P29-J-D2"/>
    <s v="PALF"/>
    <x v="1"/>
    <s v="Congo"/>
    <x v="0"/>
    <x v="0"/>
    <m/>
  </r>
  <r>
    <x v="150"/>
    <s v="Cumul frais de transport local du mois de Juin 2025/IT87"/>
    <s v="Transport"/>
    <s v="Investigations"/>
    <x v="185"/>
    <x v="549"/>
    <n v="579.64599999999996"/>
    <s v="IT87"/>
    <s v="IT87-J-D2"/>
    <s v="PALF"/>
    <x v="1"/>
    <s v="Congo"/>
    <x v="0"/>
    <x v="0"/>
    <m/>
  </r>
  <r>
    <x v="150"/>
    <s v="Cumul frais de transport local du mois Juin 2025/G12"/>
    <s v="Transport"/>
    <s v="Investigations"/>
    <x v="127"/>
    <x v="445"/>
    <n v="579.64599999999996"/>
    <s v="G12"/>
    <s v="G12-J-D1"/>
    <s v="PALF"/>
    <x v="1"/>
    <s v="Congo"/>
    <x v="0"/>
    <x v="0"/>
    <m/>
  </r>
  <r>
    <x v="150"/>
    <s v="Frais de transport mission Maitre Alain à Impfondo du 22 au 29/06/2025"/>
    <s v="Transport"/>
    <s v="Legal"/>
    <x v="281"/>
    <x v="550"/>
    <n v="579.64599999999996"/>
    <s v="Donald-Romeo"/>
    <s v="CA-J-R20"/>
    <s v="PALF"/>
    <x v="1"/>
    <s v="Congo"/>
    <x v="0"/>
    <x v="0"/>
    <m/>
  </r>
  <r>
    <x v="150"/>
    <s v="Ration et frais d'hotel mission maitre Alain à Impfondo du 22 au 29/06/2025"/>
    <s v="Travel Subsistence"/>
    <s v="Legal"/>
    <x v="282"/>
    <x v="551"/>
    <n v="579.64599999999996"/>
    <s v="Donald-Romeo"/>
    <s v="CA-J-R21"/>
    <s v="PALF"/>
    <x v="1"/>
    <s v="Congo"/>
    <x v="0"/>
    <x v="0"/>
    <m/>
  </r>
  <r>
    <x v="150"/>
    <s v="Cumul frais de transport local du mois de Juin 2025/ Evariste"/>
    <s v="Transport"/>
    <s v="Media"/>
    <x v="274"/>
    <x v="538"/>
    <n v="579.64599999999996"/>
    <s v="Evariste"/>
    <s v="EV-J-D2"/>
    <s v="PALF"/>
    <x v="1"/>
    <s v="Congo"/>
    <x v="0"/>
    <x v="0"/>
    <m/>
  </r>
  <r>
    <x v="151"/>
    <s v="Achat billet Brazzaville-Imfondo/Donald-Roméo"/>
    <s v="Transport "/>
    <s v="Legal"/>
    <x v="188"/>
    <x v="454"/>
    <n v="579.64599999999996"/>
    <s v="Donald-Romeo"/>
    <s v="DR-J-R7"/>
    <s v="PALF"/>
    <x v="1"/>
    <s v="Congo"/>
    <x v="0"/>
    <x v="0"/>
    <m/>
  </r>
  <r>
    <x v="151"/>
    <s v="Donald Roméo-CONGO Ration  du  22 au 29/06/2025 à Impfondo"/>
    <s v="Travel Subsistence"/>
    <s v="Legal"/>
    <x v="21"/>
    <x v="514"/>
    <n v="579.64599999999996"/>
    <s v="Donald-Romeo"/>
    <s v="DR-J-D2"/>
    <s v="PALF"/>
    <x v="1"/>
    <s v="Congo"/>
    <x v="0"/>
    <x v="0"/>
    <m/>
  </r>
  <r>
    <x v="152"/>
    <s v="Maintenance groupe electrogène bureau PALF"/>
    <s v="Services"/>
    <s v="Office"/>
    <x v="4"/>
    <x v="444"/>
    <n v="579.64599999999996"/>
    <s v="Parfaite"/>
    <s v="CA-J-R22"/>
    <s v="PALF"/>
    <x v="1"/>
    <s v="Congo"/>
    <x v="0"/>
    <x v="0"/>
    <m/>
  </r>
  <r>
    <x v="152"/>
    <s v="cumul frais de trust building du mois de Juin 2025/T73"/>
    <s v="Trust Building"/>
    <s v="Investigations"/>
    <x v="48"/>
    <x v="552"/>
    <n v="579.64599999999996"/>
    <s v="T73"/>
    <s v="T73-J-D1"/>
    <s v="PALF"/>
    <x v="1"/>
    <s v="Congo"/>
    <x v="0"/>
    <x v="0"/>
    <m/>
  </r>
  <r>
    <x v="152"/>
    <s v="Donald Roméo-CONGO Frais d'hôtel du 22 au 23/06/2025 à Ouesso (  01 Nuitée)"/>
    <s v="Travel Subsistence"/>
    <s v="Legal"/>
    <x v="64"/>
    <x v="455"/>
    <n v="579.64599999999996"/>
    <s v="Donald-Romeo"/>
    <s v="DR-J-R8"/>
    <s v="PALF"/>
    <x v="1"/>
    <s v="Congo"/>
    <x v="0"/>
    <x v="0"/>
    <m/>
  </r>
  <r>
    <x v="153"/>
    <s v="Cumul frais de transport local du mois de Juin 2025/T73"/>
    <s v="Transport"/>
    <s v="Investigations"/>
    <x v="283"/>
    <x v="553"/>
    <n v="579.64599999999996"/>
    <s v="T73"/>
    <s v="T73-J-D2"/>
    <s v="PALF"/>
    <x v="1"/>
    <s v="Congo"/>
    <x v="0"/>
    <x v="0"/>
    <m/>
  </r>
  <r>
    <x v="153"/>
    <s v="Frais de tansfert d'argent à Donald roméo"/>
    <s v="Transfer Fees"/>
    <s v="Office"/>
    <x v="70"/>
    <x v="554"/>
    <n v="579.64599999999996"/>
    <s v="Abraham"/>
    <s v="CA-J-R25"/>
    <s v="PALF"/>
    <x v="1"/>
    <s v="Congo"/>
    <x v="0"/>
    <x v="0"/>
    <m/>
  </r>
  <r>
    <x v="153"/>
    <s v="Achat billet Brazzaville-Owando"/>
    <s v="Transport"/>
    <s v="Legal"/>
    <x v="12"/>
    <x v="449"/>
    <n v="579.64599999999996"/>
    <s v="Roderlin"/>
    <s v="RO-J-R9"/>
    <s v="PALF"/>
    <x v="1"/>
    <s v="Congo"/>
    <x v="0"/>
    <x v="0"/>
    <m/>
  </r>
  <r>
    <x v="153"/>
    <s v="Frais de transport mission Maitre Hélene  du 25 au 27/06/2025 à Owando"/>
    <s v="Transport"/>
    <s v="Legal"/>
    <x v="0"/>
    <x v="452"/>
    <n v="579.64599999999996"/>
    <s v="Roderlin"/>
    <s v="CA-J-R23"/>
    <s v="PALF"/>
    <x v="1"/>
    <s v="Congo"/>
    <x v="0"/>
    <x v="0"/>
    <m/>
  </r>
  <r>
    <x v="153"/>
    <s v="Ration et frais d'hotel mission maitre Hélène  du 25 au 27/06/2025 à Owando"/>
    <s v="Travel Subsistence"/>
    <s v="Legal"/>
    <x v="30"/>
    <x v="446"/>
    <n v="579.64599999999996"/>
    <s v="Roderlin"/>
    <s v="CA-J-R24"/>
    <s v="PALF"/>
    <x v="1"/>
    <s v="Congo"/>
    <x v="0"/>
    <x v="0"/>
    <m/>
  </r>
  <r>
    <x v="153"/>
    <s v="Donald Roméo-CONGO Frais d'hôtedu 23 au 24/06/2025 à Enyele (  01 Nuitée)"/>
    <s v="Travel Subsistence"/>
    <s v="Legal"/>
    <x v="64"/>
    <x v="455"/>
    <n v="579.64599999999996"/>
    <s v="Donald-Romeo"/>
    <s v="DR-J-R9"/>
    <s v="PALF"/>
    <x v="1"/>
    <s v="Congo"/>
    <x v="0"/>
    <x v="0"/>
    <m/>
  </r>
  <r>
    <x v="153"/>
    <s v="Acompte honoraire contrat N°60_Brazzaville cas NZETSI BIMOKO et Consorts/Maitre Marie Hélène NANITELAMIO MALONGA/ 3654884"/>
    <s v="Lawyer Fees"/>
    <s v="Legal"/>
    <x v="8"/>
    <x v="470"/>
    <n v="579.64599999999996"/>
    <s v="BCI"/>
    <s v="BQ-J-R10"/>
    <s v="PALF"/>
    <x v="1"/>
    <s v="Congo"/>
    <x v="0"/>
    <x v="0"/>
    <m/>
  </r>
  <r>
    <x v="154"/>
    <s v="RODERLIN-CONGO Ration du 24 au 26/06/2025 à Owando (02 nuitées)"/>
    <s v="Travel Subsistence"/>
    <s v="Legal"/>
    <x v="0"/>
    <x v="452"/>
    <n v="579.64599999999996"/>
    <s v="Roderlin"/>
    <s v="RO-J-D3"/>
    <s v="PALF"/>
    <x v="1"/>
    <s v="Congo"/>
    <x v="0"/>
    <x v="0"/>
    <m/>
  </r>
  <r>
    <x v="155"/>
    <s v="cumul frais de Jail visits du mois de Juin 2025/Roderlin"/>
    <s v="Jail visit"/>
    <s v="Legal"/>
    <x v="1"/>
    <x v="496"/>
    <n v="579.64599999999996"/>
    <s v="Roderlin"/>
    <s v="RO-J-D4"/>
    <s v="PALF"/>
    <x v="1"/>
    <s v="Congo"/>
    <x v="0"/>
    <x v="0"/>
    <m/>
  </r>
  <r>
    <x v="155"/>
    <s v="Cumul frais de Jail visits du mois de Juin 2025/Donald-Romeo"/>
    <s v="Jail visit"/>
    <s v="Legal"/>
    <x v="222"/>
    <x v="512"/>
    <n v="579.64599999999996"/>
    <s v="Donald-Romeo"/>
    <s v="DR-J-D3"/>
    <s v="PALF"/>
    <x v="1"/>
    <s v="Congo"/>
    <x v="0"/>
    <x v="0"/>
    <m/>
  </r>
  <r>
    <x v="156"/>
    <s v="Achat billet Owando- Brazzaville "/>
    <s v="Transport"/>
    <s v="Legal"/>
    <x v="12"/>
    <x v="449"/>
    <n v="579.64599999999996"/>
    <s v="Roderlin"/>
    <s v="RO-J-R10"/>
    <s v="PALF"/>
    <x v="1"/>
    <s v="Congo"/>
    <x v="0"/>
    <x v="0"/>
    <m/>
  </r>
  <r>
    <x v="156"/>
    <s v="Achat billet Imfondo-Brazzaville"/>
    <s v="Transport "/>
    <s v="Legal"/>
    <x v="188"/>
    <x v="454"/>
    <n v="579.64599999999996"/>
    <s v="Donald-Romeo"/>
    <s v="DR-J-R10"/>
    <s v="PALF"/>
    <x v="1"/>
    <s v="Congo"/>
    <x v="0"/>
    <x v="0"/>
    <m/>
  </r>
  <r>
    <x v="156"/>
    <s v="Frais de ramassage Ordure Juin 2025"/>
    <s v="Rent &amp; Utilities"/>
    <s v="Office"/>
    <x v="37"/>
    <x v="447"/>
    <n v="579.64599999999996"/>
    <s v="Parfaite"/>
    <s v="CA-J-R26"/>
    <s v="PALF"/>
    <x v="1"/>
    <s v="Congo"/>
    <x v="0"/>
    <x v="0"/>
    <m/>
  </r>
  <r>
    <x v="156"/>
    <s v="Reglement prestation de nettoyage  PALF du mois de Juin 2025"/>
    <s v="Services"/>
    <s v="Office"/>
    <x v="73"/>
    <x v="489"/>
    <n v="579.64599999999996"/>
    <s v="Parfaite"/>
    <s v="CA-J-R27"/>
    <s v="PALF"/>
    <x v="1"/>
    <s v="Congo"/>
    <x v="0"/>
    <x v="0"/>
    <m/>
  </r>
  <r>
    <x v="156"/>
    <s v="RODERLIN-CONGO Frais d'hôtel du 25 au 27/06/2025 à Owando (02 nuitées)"/>
    <s v="Travel Subsistence"/>
    <s v="Legal"/>
    <x v="44"/>
    <x v="448"/>
    <n v="579.64599999999996"/>
    <s v="Roderlin"/>
    <s v="RO-J-R11"/>
    <s v="PALF"/>
    <x v="1"/>
    <s v="Congo"/>
    <x v="0"/>
    <x v="0"/>
    <m/>
  </r>
  <r>
    <x v="156"/>
    <s v="Donald Roméo-CONGO Frais d'hôtel du 24 au 27/06/2025 à Impfondo ( 03 Nuitées )"/>
    <s v="Travel Subsistence"/>
    <s v="Legal"/>
    <x v="22"/>
    <x v="519"/>
    <n v="579.64599999999996"/>
    <s v="Donald-Romeo"/>
    <s v="DR-J-R11"/>
    <s v="PALF"/>
    <x v="1"/>
    <s v="Congo"/>
    <x v="0"/>
    <x v="0"/>
    <m/>
  </r>
  <r>
    <x v="157"/>
    <s v="Donald Roméo- CONGO Frais d'hôtel du 27 au 28/06/2025 à Enyele (01 Nuitée)"/>
    <s v="Travel Subsistence"/>
    <s v="Legal"/>
    <x v="64"/>
    <x v="455"/>
    <n v="579.64599999999996"/>
    <s v="Donald-Romeo"/>
    <s v="DR-J-R12"/>
    <s v="PALF"/>
    <x v="1"/>
    <s v="Congo"/>
    <x v="0"/>
    <x v="0"/>
    <m/>
  </r>
  <r>
    <x v="158"/>
    <s v="Donald Roméo-CONGO Frais d'hôtel du 28 au 29/06/2025 à Oyo ( 01 Nuitée)"/>
    <s v="Travel Subsistence"/>
    <s v="Legal"/>
    <x v="64"/>
    <x v="455"/>
    <n v="579.64599999999996"/>
    <s v="Donald-Romeo"/>
    <s v="DR-J-R13"/>
    <s v="PALF"/>
    <x v="1"/>
    <s v="Congo"/>
    <x v="0"/>
    <x v="0"/>
    <m/>
  </r>
  <r>
    <x v="158"/>
    <s v="Cumul frais de transport local du mois de Juin 2025/Donald-Romeo"/>
    <s v="Transport "/>
    <s v="Legal"/>
    <x v="284"/>
    <x v="555"/>
    <n v="579.64599999999996"/>
    <s v="Donald-Romeo"/>
    <s v="DR-J-D4"/>
    <s v="PALF"/>
    <x v="1"/>
    <s v="Congo"/>
    <x v="0"/>
    <x v="0"/>
    <m/>
  </r>
  <r>
    <x v="159"/>
    <s v="Cumul frais de transport local du mois de Juin 2025/DOVI"/>
    <s v="Transport"/>
    <s v="Management"/>
    <x v="285"/>
    <x v="556"/>
    <n v="579.64599999999996"/>
    <s v="DOVI"/>
    <s v="DH-J-D1"/>
    <s v="PALF"/>
    <x v="1"/>
    <s v="Congo"/>
    <x v="0"/>
    <x v="0"/>
    <m/>
  </r>
  <r>
    <x v="159"/>
    <s v="Maintenance groupe electrogène bureau PALF"/>
    <s v="Services"/>
    <s v="Office"/>
    <x v="30"/>
    <x v="446"/>
    <n v="579.64599999999996"/>
    <s v="Parfaite"/>
    <s v="CA-J-R28"/>
    <s v="PALF"/>
    <x v="1"/>
    <s v="Congo"/>
    <x v="0"/>
    <x v="0"/>
    <m/>
  </r>
  <r>
    <x v="159"/>
    <s v="Reglement facture internet periode du 01/07 au 31/07/2025 bureau PALF"/>
    <s v="Internet"/>
    <s v="Office"/>
    <x v="87"/>
    <x v="500"/>
    <n v="579.64599999999996"/>
    <s v="Parfaite"/>
    <s v="CA-J-R29"/>
    <s v="PALF"/>
    <x v="1"/>
    <s v="Congo"/>
    <x v="0"/>
    <x v="0"/>
    <m/>
  </r>
  <r>
    <x v="159"/>
    <s v="Cumul frais de transport local du mois de Juin 2025/Parfaite"/>
    <s v="Transport"/>
    <s v="Office"/>
    <x v="51"/>
    <x v="502"/>
    <n v="579.64599999999996"/>
    <s v="Parfaite"/>
    <s v="P-J-D1"/>
    <s v="PALF"/>
    <x v="1"/>
    <s v="Congo"/>
    <x v="0"/>
    <x v="0"/>
    <m/>
  </r>
  <r>
    <x v="159"/>
    <s v="Cumul frais de transport local du mois de Juin 2025/ Abraham"/>
    <s v="Transport"/>
    <s v="Legal"/>
    <x v="286"/>
    <x v="557"/>
    <n v="579.64599999999996"/>
    <s v="Abraham"/>
    <s v="AB-J-D4"/>
    <s v="PALF"/>
    <x v="1"/>
    <s v="Congo"/>
    <x v="0"/>
    <x v="0"/>
    <m/>
  </r>
  <r>
    <x v="159"/>
    <s v="Cumul frais de transport local du mois de Juin 2025/Roderlin"/>
    <s v="Transport"/>
    <s v="Legal"/>
    <x v="186"/>
    <x v="558"/>
    <n v="579.64599999999996"/>
    <s v="Roderlin"/>
    <s v="RO-J-D5"/>
    <s v="PALF"/>
    <x v="1"/>
    <s v="Congo"/>
    <x v="0"/>
    <x v="0"/>
    <m/>
  </r>
  <r>
    <x v="160"/>
    <s v="Maison-Bureau"/>
    <s v="Transport"/>
    <s v="Management"/>
    <x v="24"/>
    <x v="559"/>
    <n v="560.94248000000005"/>
    <s v="DOVI"/>
    <s v="DH-JU-D1"/>
    <s v="PALF"/>
    <x v="5"/>
    <s v="Congo"/>
    <x v="0"/>
    <x v="0"/>
    <m/>
  </r>
  <r>
    <x v="160"/>
    <s v="Bureau-Maison"/>
    <s v="Transport"/>
    <s v="Management"/>
    <x v="24"/>
    <x v="559"/>
    <n v="560.94248000000005"/>
    <s v="DOVI"/>
    <s v="DH-JU-D1"/>
    <s v="PALF"/>
    <x v="5"/>
    <s v="Congo"/>
    <x v="0"/>
    <x v="0"/>
    <m/>
  </r>
  <r>
    <x v="161"/>
    <s v="Maison-Bureau"/>
    <s v="Transport"/>
    <s v="Management"/>
    <x v="24"/>
    <x v="559"/>
    <n v="560.94248000000005"/>
    <s v="DOVI"/>
    <s v="DH-JU-D1"/>
    <s v="PALF"/>
    <x v="5"/>
    <s v="Congo"/>
    <x v="0"/>
    <x v="0"/>
    <m/>
  </r>
  <r>
    <x v="161"/>
    <s v="Bureau-Maison"/>
    <s v="Transport"/>
    <s v="Management"/>
    <x v="24"/>
    <x v="559"/>
    <n v="560.94248000000005"/>
    <s v="DOVI"/>
    <s v="DH-JU-D1"/>
    <s v="PALF"/>
    <x v="5"/>
    <s v="Congo"/>
    <x v="0"/>
    <x v="0"/>
    <m/>
  </r>
  <r>
    <x v="161"/>
    <s v="Taxi:  Bureau-Banque BCI/ Retrait relevé de compte bancaire du mois de Juin 2025"/>
    <s v="Transport"/>
    <s v="Office"/>
    <x v="24"/>
    <x v="559"/>
    <n v="560.94248000000005"/>
    <s v="Parfaite"/>
    <s v="P-JU-D1"/>
    <s v="PALF"/>
    <x v="5"/>
    <s v="Congo"/>
    <x v="0"/>
    <x v="0"/>
    <m/>
  </r>
  <r>
    <x v="161"/>
    <s v="Taxi:  Banque BCI - Bureau/ Retrait relevé de compte bancaire du mois de Juin 2025"/>
    <s v="Transport"/>
    <s v="Office"/>
    <x v="24"/>
    <x v="559"/>
    <n v="560.94248000000005"/>
    <s v="Parfaite"/>
    <s v="P-JU-D1"/>
    <s v="PALF"/>
    <x v="5"/>
    <s v="Congo"/>
    <x v="0"/>
    <x v="0"/>
    <m/>
  </r>
  <r>
    <x v="161"/>
    <s v=" Frais de prestation de nettoyage du jardin PALF/ Juin 2025"/>
    <s v="Services"/>
    <s v="Office"/>
    <x v="0"/>
    <x v="452"/>
    <n v="560.94248000000005"/>
    <s v="Parfaite"/>
    <s v="CA-JU-R1"/>
    <s v="PALF"/>
    <x v="5"/>
    <s v="Congo"/>
    <x v="0"/>
    <x v="0"/>
    <m/>
  </r>
  <r>
    <x v="162"/>
    <s v="Maison-Bureau"/>
    <s v="Transport"/>
    <s v="Management"/>
    <x v="24"/>
    <x v="559"/>
    <n v="560.94248000000005"/>
    <s v="DOVI"/>
    <s v="DH-JU-D1"/>
    <s v="PALF"/>
    <x v="5"/>
    <s v="Congo"/>
    <x v="0"/>
    <x v="0"/>
    <m/>
  </r>
  <r>
    <x v="162"/>
    <s v="Bureau-Maison"/>
    <s v="Transport"/>
    <s v="Management"/>
    <x v="24"/>
    <x v="559"/>
    <n v="560.94248000000005"/>
    <s v="DOVI"/>
    <s v="DH-JU-D1"/>
    <s v="PALF"/>
    <x v="5"/>
    <s v="Congo"/>
    <x v="0"/>
    <x v="0"/>
    <m/>
  </r>
  <r>
    <x v="162"/>
    <s v="Taxi:  Bureau- Société de gardiennage/remis de chèque du mois de Juin 2025"/>
    <s v="Transport"/>
    <s v="Office"/>
    <x v="24"/>
    <x v="559"/>
    <n v="560.94248000000005"/>
    <s v="Parfaite"/>
    <s v="P-JU-D1"/>
    <s v="PALF"/>
    <x v="5"/>
    <s v="Congo"/>
    <x v="0"/>
    <x v="0"/>
    <m/>
  </r>
  <r>
    <x v="162"/>
    <s v="Taxi:  Societé de gardiennage  - Bureau/remis de chèque du mois de Juin 2025"/>
    <s v="Transport"/>
    <s v="Office"/>
    <x v="24"/>
    <x v="559"/>
    <n v="560.94248000000005"/>
    <s v="Parfaite"/>
    <s v="P-JU-D1"/>
    <s v="PALF"/>
    <x v="5"/>
    <s v="Congo"/>
    <x v="0"/>
    <x v="0"/>
    <m/>
  </r>
  <r>
    <x v="162"/>
    <s v="Taxi:Bureau-Centre ville pour la rencontrer maître Hélene"/>
    <s v="Transport"/>
    <s v="Legal"/>
    <x v="24"/>
    <x v="559"/>
    <n v="560.94248000000005"/>
    <s v="Roderlin"/>
    <s v="RO-JU-D1"/>
    <s v="PALF"/>
    <x v="5"/>
    <s v="Congo"/>
    <x v="0"/>
    <x v="0"/>
    <m/>
  </r>
  <r>
    <x v="162"/>
    <s v="Taxi:Centre ville-Bureau"/>
    <s v="Transport"/>
    <s v="Legal"/>
    <x v="24"/>
    <x v="559"/>
    <n v="560.94248000000005"/>
    <s v="Roderlin"/>
    <s v="RO-JU-D1"/>
    <s v="PALF"/>
    <x v="5"/>
    <s v="Congo"/>
    <x v="0"/>
    <x v="0"/>
    <m/>
  </r>
  <r>
    <x v="162"/>
    <s v="Taxi:Bureau-Cabinet BANZOUZI pour la rémise du chèque "/>
    <s v="Transport"/>
    <s v="Legal"/>
    <x v="24"/>
    <x v="559"/>
    <n v="560.94248000000005"/>
    <s v="Roderlin"/>
    <s v="RO-JU-D1"/>
    <s v="PALF"/>
    <x v="5"/>
    <s v="Congo"/>
    <x v="0"/>
    <x v="0"/>
    <m/>
  </r>
  <r>
    <x v="162"/>
    <s v="Taxi:Cabinet BANZOUZI-Domicile"/>
    <s v="Transport"/>
    <s v="Legal"/>
    <x v="24"/>
    <x v="559"/>
    <n v="560.94248000000005"/>
    <s v="Roderlin"/>
    <s v="RO-JU-D1"/>
    <s v="PALF"/>
    <x v="5"/>
    <s v="Congo"/>
    <x v="0"/>
    <x v="0"/>
    <m/>
  </r>
  <r>
    <x v="162"/>
    <s v="Solde  honoraire contrat n°84 Impfondo cas MBEKELE ET CONSORTS/ Maître BANZOUZI Alain/3654886"/>
    <s v="Lawyer Fees"/>
    <s v="Legal"/>
    <x v="8"/>
    <x v="470"/>
    <n v="560.94248000000005"/>
    <s v="BCI"/>
    <s v="BQ-JU-R1"/>
    <s v="PALF"/>
    <x v="5"/>
    <s v="Congo"/>
    <x v="0"/>
    <x v="0"/>
    <m/>
  </r>
  <r>
    <x v="162"/>
    <s v="Solde honoraire contrat N°49_Brazzaville cas BIHONDA Jean-LeBOUCK/Maitre Marie Hélène NANITELAMIO MALONGA/ 3654887"/>
    <s v="Lawyer Fees"/>
    <s v="Legal"/>
    <x v="8"/>
    <x v="470"/>
    <n v="560.94248000000005"/>
    <s v="BCI"/>
    <s v="BQ-JU-R2"/>
    <s v="PALF"/>
    <x v="5"/>
    <s v="Congo"/>
    <x v="0"/>
    <x v="0"/>
    <m/>
  </r>
  <r>
    <x v="162"/>
    <s v="Reglement Facture Gardiennage Mois de Juin 2025/3654888"/>
    <s v="Services"/>
    <s v="Office"/>
    <x v="10"/>
    <x v="528"/>
    <n v="560.94248000000005"/>
    <s v="BCI"/>
    <s v="BQ-JU-R3"/>
    <s v="PALF"/>
    <x v="5"/>
    <s v="Congo"/>
    <x v="0"/>
    <x v="0"/>
    <m/>
  </r>
  <r>
    <x v="163"/>
    <s v="Maison-Bureau"/>
    <s v="Transport"/>
    <s v="Management"/>
    <x v="24"/>
    <x v="559"/>
    <n v="560.94248000000005"/>
    <s v="DOVI"/>
    <s v="DH-JU-D1"/>
    <s v="PALF"/>
    <x v="5"/>
    <s v="Congo"/>
    <x v="0"/>
    <x v="0"/>
    <m/>
  </r>
  <r>
    <x v="163"/>
    <s v="Bureau-Maison"/>
    <s v="Transport"/>
    <s v="Management"/>
    <x v="24"/>
    <x v="559"/>
    <n v="560.94248000000005"/>
    <s v="DOVI"/>
    <s v="DH-JU-D1"/>
    <s v="PALF"/>
    <x v="5"/>
    <s v="Congo"/>
    <x v="0"/>
    <x v="0"/>
    <m/>
  </r>
  <r>
    <x v="164"/>
    <s v="Maison-Bureau"/>
    <s v="Transport"/>
    <s v="Management"/>
    <x v="24"/>
    <x v="559"/>
    <n v="560.94248000000005"/>
    <s v="DOVI"/>
    <s v="DH-JU-D1"/>
    <s v="PALF"/>
    <x v="5"/>
    <s v="Congo"/>
    <x v="0"/>
    <x v="0"/>
    <m/>
  </r>
  <r>
    <x v="164"/>
    <s v="Bureau-Maison"/>
    <s v="Transport"/>
    <s v="Management"/>
    <x v="24"/>
    <x v="559"/>
    <n v="560.94248000000005"/>
    <s v="DOVI"/>
    <s v="DH-JU-D1"/>
    <s v="PALF"/>
    <x v="5"/>
    <s v="Congo"/>
    <x v="0"/>
    <x v="0"/>
    <m/>
  </r>
  <r>
    <x v="165"/>
    <s v="Maison-Bureau"/>
    <s v="Transport"/>
    <s v="Management"/>
    <x v="24"/>
    <x v="559"/>
    <n v="560.94248000000005"/>
    <s v="DOVI"/>
    <s v="DH-JU-D1"/>
    <s v="PALF"/>
    <x v="5"/>
    <s v="Congo"/>
    <x v="0"/>
    <x v="0"/>
    <m/>
  </r>
  <r>
    <x v="165"/>
    <s v="Bureau-Maison"/>
    <s v="Transport"/>
    <s v="Management"/>
    <x v="24"/>
    <x v="559"/>
    <n v="560.94248000000005"/>
    <s v="DOVI"/>
    <s v="DH-JU-D1"/>
    <s v="PALF"/>
    <x v="5"/>
    <s v="Congo"/>
    <x v="0"/>
    <x v="0"/>
    <m/>
  </r>
  <r>
    <x v="166"/>
    <s v="Maison-Bureau"/>
    <s v="Transport"/>
    <s v="Management"/>
    <x v="24"/>
    <x v="559"/>
    <n v="560.94248000000005"/>
    <s v="DOVI"/>
    <s v="DH-JU-D1"/>
    <s v="PALF"/>
    <x v="5"/>
    <s v="Congo"/>
    <x v="0"/>
    <x v="0"/>
    <m/>
  </r>
  <r>
    <x v="166"/>
    <s v="Bureau-Maison"/>
    <s v="Transport"/>
    <s v="Management"/>
    <x v="24"/>
    <x v="559"/>
    <n v="560.94248000000005"/>
    <s v="DOVI"/>
    <s v="DH-JU-D1"/>
    <s v="PALF"/>
    <x v="5"/>
    <s v="Congo"/>
    <x v="0"/>
    <x v="0"/>
    <m/>
  </r>
  <r>
    <x v="167"/>
    <s v="Règlement loyer Juin 2025/Coordinateur"/>
    <s v="Personnel"/>
    <s v="Management"/>
    <x v="85"/>
    <x v="523"/>
    <n v="560.94248000000005"/>
    <s v="DOVI"/>
    <s v="DH-JU-R1"/>
    <s v="PALF"/>
    <x v="5"/>
    <s v="Congo"/>
    <x v="0"/>
    <x v="0"/>
    <m/>
  </r>
  <r>
    <x v="167"/>
    <s v="Maison- Bureau"/>
    <s v="Transport"/>
    <s v="Management"/>
    <x v="24"/>
    <x v="559"/>
    <n v="560.94248000000005"/>
    <s v="DOVI"/>
    <s v="DH-JU-D1"/>
    <s v="PALF"/>
    <x v="5"/>
    <s v="Congo"/>
    <x v="0"/>
    <x v="0"/>
    <m/>
  </r>
  <r>
    <x v="167"/>
    <s v="Bureau-Maison"/>
    <s v="Transport"/>
    <s v="Management"/>
    <x v="24"/>
    <x v="559"/>
    <n v="560.94248000000005"/>
    <s v="DOVI"/>
    <s v="DH-JU-D1"/>
    <s v="PALF"/>
    <x v="5"/>
    <s v="Congo"/>
    <x v="0"/>
    <x v="0"/>
    <m/>
  </r>
  <r>
    <x v="167"/>
    <s v="Achat eau mineral 10 Petite bouteille 0,6L/Bureau"/>
    <s v="Office Materiels"/>
    <s v="Office"/>
    <x v="70"/>
    <x v="554"/>
    <n v="560.94248000000005"/>
    <s v="Roderlin"/>
    <s v="CA-JU-R2"/>
    <s v="PALF"/>
    <x v="5"/>
    <s v="Congo"/>
    <x v="0"/>
    <x v="0"/>
    <m/>
  </r>
  <r>
    <x v="168"/>
    <s v="Maison-Cabinet d'huissier"/>
    <s v="Transport"/>
    <s v="Management"/>
    <x v="24"/>
    <x v="559"/>
    <n v="560.94248000000005"/>
    <s v="DOVI"/>
    <s v="DH-JU-D1"/>
    <s v="PALF"/>
    <x v="5"/>
    <s v="Congo"/>
    <x v="0"/>
    <x v="0"/>
    <m/>
  </r>
  <r>
    <x v="168"/>
    <s v="Cabinet - Bureau"/>
    <s v="Transport"/>
    <s v="Management"/>
    <x v="24"/>
    <x v="559"/>
    <n v="560.94248000000005"/>
    <s v="DOVI"/>
    <s v="DH-JU-D1"/>
    <s v="PALF"/>
    <x v="5"/>
    <s v="Congo"/>
    <x v="0"/>
    <x v="0"/>
    <m/>
  </r>
  <r>
    <x v="168"/>
    <s v="Bureau-Maison"/>
    <s v="Transport"/>
    <s v="Management"/>
    <x v="24"/>
    <x v="559"/>
    <n v="560.94248000000005"/>
    <s v="DOVI"/>
    <s v="DH-JU-D1"/>
    <s v="PALF"/>
    <x v="5"/>
    <s v="Congo"/>
    <x v="0"/>
    <x v="0"/>
    <m/>
  </r>
  <r>
    <x v="168"/>
    <s v="Taxi: Domicile-Bureau pour signature des pièces comptables/crépin"/>
    <s v="Transport"/>
    <s v="Legal"/>
    <x v="24"/>
    <x v="559"/>
    <n v="560.94248000000005"/>
    <s v="Crépin"/>
    <s v="CR-JU-D1"/>
    <s v="PALF"/>
    <x v="5"/>
    <s v="Congo"/>
    <x v="0"/>
    <x v="0"/>
    <m/>
  </r>
  <r>
    <x v="168"/>
    <s v="Taxi: Bureau-Domicile/crépin"/>
    <s v="Transport"/>
    <s v="Legal"/>
    <x v="24"/>
    <x v="559"/>
    <n v="560.94248000000005"/>
    <s v="Crépin"/>
    <s v="CR-JU-D1"/>
    <s v="PALF"/>
    <x v="5"/>
    <s v="Congo"/>
    <x v="0"/>
    <x v="0"/>
    <m/>
  </r>
  <r>
    <x v="169"/>
    <s v="Maison-Bureau"/>
    <s v="Transport"/>
    <s v="Management"/>
    <x v="24"/>
    <x v="559"/>
    <n v="560.94248000000005"/>
    <s v="DOVI"/>
    <s v="DH-JU-D1"/>
    <s v="PALF"/>
    <x v="5"/>
    <s v="Congo"/>
    <x v="0"/>
    <x v="0"/>
    <m/>
  </r>
  <r>
    <x v="169"/>
    <s v="Bureau-Maison"/>
    <s v="Transport"/>
    <s v="Management"/>
    <x v="24"/>
    <x v="559"/>
    <n v="560.94248000000005"/>
    <s v="DOVI"/>
    <s v="DH-JU-D1"/>
    <s v="PALF"/>
    <x v="5"/>
    <s v="Congo"/>
    <x v="0"/>
    <x v="0"/>
    <m/>
  </r>
  <r>
    <x v="169"/>
    <s v="Remboursement frais de certificat d'Hébergement(Valentina et Martina) du 27/06/2025"/>
    <s v="Travel Expenses"/>
    <s v="Investigation"/>
    <x v="287"/>
    <x v="560"/>
    <n v="560.94248000000005"/>
    <s v="Parfaite"/>
    <s v="CA-JU-D1"/>
    <s v="PALF"/>
    <x v="5"/>
    <s v="Congo"/>
    <x v="0"/>
    <x v="0"/>
    <m/>
  </r>
  <r>
    <x v="170"/>
    <s v="Maison-Bureau"/>
    <s v="Transport"/>
    <s v="Management"/>
    <x v="24"/>
    <x v="559"/>
    <n v="560.94248000000005"/>
    <s v="DOVI"/>
    <s v="DH-JU-D1"/>
    <s v="PALF"/>
    <x v="5"/>
    <s v="Congo"/>
    <x v="0"/>
    <x v="0"/>
    <m/>
  </r>
  <r>
    <x v="170"/>
    <s v="Bureau-Maison"/>
    <s v="Transport"/>
    <s v="Management"/>
    <x v="24"/>
    <x v="559"/>
    <n v="560.94248000000005"/>
    <s v="DOVI"/>
    <s v="DH-JU-D1"/>
    <s v="PALF"/>
    <x v="5"/>
    <s v="Congo"/>
    <x v="0"/>
    <x v="0"/>
    <m/>
  </r>
  <r>
    <x v="170"/>
    <s v="Taxi: Domicile-Bureau pour la signature des chèques des salaires/crépin"/>
    <s v="Transport"/>
    <s v="Legal"/>
    <x v="24"/>
    <x v="559"/>
    <n v="560.94248000000005"/>
    <s v="Crépin"/>
    <s v="CR-JU-D1"/>
    <s v="PALF"/>
    <x v="5"/>
    <s v="Congo"/>
    <x v="0"/>
    <x v="0"/>
    <m/>
  </r>
  <r>
    <x v="170"/>
    <s v="Taxi: Bureau-Domicile/crépin"/>
    <s v="Transport"/>
    <s v="Legal"/>
    <x v="24"/>
    <x v="559"/>
    <n v="560.94248000000005"/>
    <s v="Crépin"/>
    <s v="CR-JU-D1"/>
    <s v="PALF"/>
    <x v="5"/>
    <s v="Congo"/>
    <x v="0"/>
    <x v="0"/>
    <m/>
  </r>
  <r>
    <x v="170"/>
    <s v="Taxi:  Domicile-Banque BCI/ Vérification des fonds dans le compte "/>
    <s v="Transport"/>
    <s v="Office"/>
    <x v="24"/>
    <x v="559"/>
    <n v="560.94248000000005"/>
    <s v="Parfaite"/>
    <s v="P-JU-D1"/>
    <s v="PALF"/>
    <x v="5"/>
    <s v="Congo"/>
    <x v="0"/>
    <x v="0"/>
    <m/>
  </r>
  <r>
    <x v="170"/>
    <s v="Taxi:  Banque BCI - Bureau/  Vérification des fonds dans le compte "/>
    <s v="Transport"/>
    <s v="Office"/>
    <x v="24"/>
    <x v="559"/>
    <n v="560.94248000000005"/>
    <s v="Parfaite"/>
    <s v="P-JU-D1"/>
    <s v="PALF"/>
    <x v="5"/>
    <s v="Congo"/>
    <x v="0"/>
    <x v="0"/>
    <m/>
  </r>
  <r>
    <x v="170"/>
    <s v="Taxi:  Bureau-Banque BCI/ Dépôt ordre de virement salaire du mois de Juin 2025"/>
    <s v="Transport"/>
    <s v="Office"/>
    <x v="24"/>
    <x v="559"/>
    <n v="560.94248000000005"/>
    <s v="Parfaite"/>
    <s v="P-JU-D1"/>
    <s v="PALF"/>
    <x v="5"/>
    <s v="Congo"/>
    <x v="0"/>
    <x v="0"/>
    <m/>
  </r>
  <r>
    <x v="170"/>
    <s v="Taxi:  Banque BCI - Bureau/ Dépôt ordre de virement salaire du mois de Juin 2025"/>
    <s v="Transport"/>
    <s v="Office"/>
    <x v="24"/>
    <x v="559"/>
    <n v="560.94248000000005"/>
    <s v="Parfaite"/>
    <s v="P-JU-D1"/>
    <s v="PALF"/>
    <x v="5"/>
    <s v="Congo"/>
    <x v="0"/>
    <x v="0"/>
    <m/>
  </r>
  <r>
    <x v="170"/>
    <s v="Reglement loyer du mois de Juin 2025/3654885"/>
    <s v="Rent &amp; Utilities"/>
    <s v="Office"/>
    <x v="9"/>
    <x v="532"/>
    <n v="560.94248000000005"/>
    <s v="BCI"/>
    <s v="BQ-JU-R4"/>
    <s v="PALF"/>
    <x v="5"/>
    <s v="Congo"/>
    <x v="0"/>
    <x v="0"/>
    <m/>
  </r>
  <r>
    <x v="170"/>
    <s v="RAPATRIEME01100 RAO00010859/OAT"/>
    <s v="Grant"/>
    <m/>
    <x v="47"/>
    <x v="48"/>
    <n v="534.23810000000003"/>
    <s v="BCI"/>
    <s v="BQ-JU-G1"/>
    <s v="PALF"/>
    <x v="3"/>
    <s v="Congo"/>
    <x v="6"/>
    <x v="4"/>
    <m/>
  </r>
  <r>
    <x v="170"/>
    <s v="Reglement honoraire du mois de de Juin 2025/P29/36548890"/>
    <s v="Personnel"/>
    <s v="Investigation"/>
    <x v="91"/>
    <x v="561"/>
    <n v="534.23810000000003"/>
    <s v="BCI"/>
    <s v="BQ-JU-R5"/>
    <s v="PALF"/>
    <x v="3"/>
    <s v="Congo"/>
    <x v="0"/>
    <x v="0"/>
    <m/>
  </r>
  <r>
    <x v="170"/>
    <s v="Reglement honoraire du mois de Juin 2025/T73/3654892"/>
    <s v="Personnel"/>
    <s v="Investigation"/>
    <x v="89"/>
    <x v="562"/>
    <n v="534.23810000000003"/>
    <s v="BCI"/>
    <s v="BQ-JU-R6"/>
    <s v="PALF"/>
    <x v="3"/>
    <s v="Congo"/>
    <x v="0"/>
    <x v="0"/>
    <m/>
  </r>
  <r>
    <x v="170"/>
    <s v="Reglement honoraire du mois de Juin 2025/IT87/3654895"/>
    <s v="Personnel"/>
    <s v="Investigation"/>
    <x v="89"/>
    <x v="562"/>
    <n v="534.23810000000003"/>
    <s v="BCI"/>
    <s v="BQ-JU-R7"/>
    <s v="PALF"/>
    <x v="3"/>
    <s v="Congo"/>
    <x v="0"/>
    <x v="0"/>
    <m/>
  </r>
  <r>
    <x v="170"/>
    <s v="Reglement honoraire du mois de Juin 2025/G12/3654894"/>
    <s v="Personnel"/>
    <s v="Investigation"/>
    <x v="89"/>
    <x v="562"/>
    <n v="534.23810000000003"/>
    <s v="BCI"/>
    <s v="BQ-JU-R8"/>
    <s v="PALF"/>
    <x v="3"/>
    <s v="Congo"/>
    <x v="0"/>
    <x v="0"/>
    <m/>
  </r>
  <r>
    <x v="170"/>
    <s v="Paiement salaire du mois de Juin 2025/BAVOUMINA NZOUSSI Dina Parfaite/365897"/>
    <s v="Personnel"/>
    <s v="Office"/>
    <x v="96"/>
    <x v="563"/>
    <n v="534.23810000000003"/>
    <s v="BCI"/>
    <s v="BQ-JU-R9"/>
    <s v="PALF"/>
    <x v="3"/>
    <s v="Congo"/>
    <x v="0"/>
    <x v="0"/>
    <m/>
  </r>
  <r>
    <x v="170"/>
    <s v="Paiement salaire du mois de Juin 2025/BOUNGOU MAKOSSO Abraham/3654896"/>
    <s v="Personnel"/>
    <s v="Legal"/>
    <x v="58"/>
    <x v="564"/>
    <n v="534.23810000000003"/>
    <s v="BCI"/>
    <s v="BQ-JU-R10"/>
    <s v="PALF"/>
    <x v="3"/>
    <s v="Congo"/>
    <x v="0"/>
    <x v="0"/>
    <m/>
  </r>
  <r>
    <x v="170"/>
    <s v="Paiement salaire du mois de Juin 2025/Crepin IBOUILI-IBOUILI"/>
    <s v="Personnel"/>
    <s v="Legal"/>
    <x v="59"/>
    <x v="565"/>
    <n v="534.23810000000003"/>
    <s v="BCI"/>
    <s v="BQ-JU-R11"/>
    <s v="PALF"/>
    <x v="3"/>
    <s v="Congo"/>
    <x v="0"/>
    <x v="0"/>
    <m/>
  </r>
  <r>
    <x v="170"/>
    <s v="Paiement salaire du mois de Juin 2025/PINDI BINGA Donald- Roméo"/>
    <s v="Personnel"/>
    <s v="Legal"/>
    <x v="8"/>
    <x v="566"/>
    <n v="534.23810000000003"/>
    <s v="BCI"/>
    <s v="BQ-JU-R12"/>
    <s v="PALF"/>
    <x v="3"/>
    <s v="Congo"/>
    <x v="0"/>
    <x v="0"/>
    <m/>
  </r>
  <r>
    <x v="170"/>
    <s v="Paiement salaire du mois de  Juin 2025/Evariste LELOUSSI"/>
    <s v="Personnel"/>
    <s v="Media"/>
    <x v="62"/>
    <x v="567"/>
    <n v="534.23810000000003"/>
    <s v="BCI"/>
    <s v="BQ-JU-R13"/>
    <s v="PALF"/>
    <x v="3"/>
    <s v="Congo"/>
    <x v="0"/>
    <x v="0"/>
    <m/>
  </r>
  <r>
    <x v="170"/>
    <s v="Paiement salaire du  01 au 18 Juin 2025/Homéfa DOVI/3654898"/>
    <s v="Personnel"/>
    <s v="Management"/>
    <x v="288"/>
    <x v="568"/>
    <n v="534.23810000000003"/>
    <s v="BCI"/>
    <s v="BQ-JU-R14"/>
    <s v="PALF"/>
    <x v="3"/>
    <s v="Congo"/>
    <x v="0"/>
    <x v="0"/>
    <m/>
  </r>
  <r>
    <x v="170"/>
    <s v="Paiement salaire du 19 au 30 Juin 2025/Homéfa DOVI/3654898"/>
    <s v="Personnel"/>
    <s v="Management"/>
    <x v="289"/>
    <x v="569"/>
    <n v="534.23810000000003"/>
    <s v="BCI"/>
    <s v="BQ-JU-R15"/>
    <s v="PALF"/>
    <x v="3"/>
    <s v="Congo"/>
    <x v="0"/>
    <x v="0"/>
    <m/>
  </r>
  <r>
    <x v="170"/>
    <s v="Frais de virement des salaire du mois Juin 2025"/>
    <s v="Bank fees"/>
    <s v="Office"/>
    <x v="72"/>
    <x v="570"/>
    <n v="534.23810000000003"/>
    <s v="BCI"/>
    <s v="BQ-JU-R16"/>
    <s v="PALF"/>
    <x v="3"/>
    <s v="Congo"/>
    <x v="0"/>
    <x v="0"/>
    <m/>
  </r>
  <r>
    <x v="171"/>
    <s v="Maison-Bureau"/>
    <s v="Transport"/>
    <s v="Management"/>
    <x v="24"/>
    <x v="571"/>
    <n v="534.23810000000003"/>
    <s v="DOVI"/>
    <s v="DH-JU-D1"/>
    <s v="PALF"/>
    <x v="3"/>
    <s v="Congo"/>
    <x v="0"/>
    <x v="0"/>
    <m/>
  </r>
  <r>
    <x v="171"/>
    <s v="Bureau-Maison"/>
    <s v="Transport"/>
    <s v="Management"/>
    <x v="24"/>
    <x v="571"/>
    <n v="534.23810000000003"/>
    <s v="DOVI"/>
    <s v="DH-JU-D1"/>
    <s v="PALF"/>
    <x v="3"/>
    <s v="Congo"/>
    <x v="0"/>
    <x v="0"/>
    <m/>
  </r>
  <r>
    <x v="171"/>
    <s v="Paiement salaire du mois de Juin 2025/FOUMBA Roderlin/3654900"/>
    <s v="Personnel"/>
    <s v="Legal"/>
    <x v="58"/>
    <x v="564"/>
    <n v="534.23810000000003"/>
    <s v="BCI"/>
    <s v="BQ-JU-R17"/>
    <s v="PALF"/>
    <x v="3"/>
    <s v="Congo"/>
    <x v="0"/>
    <x v="0"/>
    <m/>
  </r>
  <r>
    <x v="172"/>
    <s v="Maison- Cabinet d'huissier"/>
    <s v="Transport"/>
    <s v="Management"/>
    <x v="24"/>
    <x v="571"/>
    <n v="534.23810000000003"/>
    <s v="DOVI"/>
    <s v="DH-JU-D1"/>
    <s v="PALF"/>
    <x v="3"/>
    <s v="Congo"/>
    <x v="0"/>
    <x v="0"/>
    <m/>
  </r>
  <r>
    <x v="172"/>
    <s v="Cabinet - Bureau"/>
    <s v="Transport"/>
    <s v="Management"/>
    <x v="24"/>
    <x v="571"/>
    <n v="534.23810000000003"/>
    <s v="DOVI"/>
    <s v="DH-JU-D1"/>
    <s v="PALF"/>
    <x v="3"/>
    <s v="Congo"/>
    <x v="0"/>
    <x v="0"/>
    <m/>
  </r>
  <r>
    <x v="172"/>
    <s v="Bureau-Maison"/>
    <s v="Transport"/>
    <s v="Management"/>
    <x v="24"/>
    <x v="571"/>
    <n v="534.23810000000003"/>
    <s v="DOVI"/>
    <s v="DH-JU-D1"/>
    <s v="PALF"/>
    <x v="3"/>
    <s v="Congo"/>
    <x v="0"/>
    <x v="0"/>
    <m/>
  </r>
  <r>
    <x v="172"/>
    <s v="Taxi:  Bureau-Banque BCI"/>
    <s v="Transport"/>
    <s v="Office"/>
    <x v="24"/>
    <x v="571"/>
    <n v="534.23810000000003"/>
    <s v="Parfaite"/>
    <s v="P-JU-D1"/>
    <s v="PALF"/>
    <x v="3"/>
    <s v="Congo"/>
    <x v="0"/>
    <x v="0"/>
    <m/>
  </r>
  <r>
    <x v="172"/>
    <s v="Taxi:  Banque BCI - CNSS/Paiement CNSS deuxième  trimestre de l'année 2025"/>
    <s v="Transport"/>
    <s v="Office"/>
    <x v="24"/>
    <x v="571"/>
    <n v="534.23810000000003"/>
    <s v="Parfaite"/>
    <s v="P-JU-D1"/>
    <s v="PALF"/>
    <x v="3"/>
    <s v="Congo"/>
    <x v="0"/>
    <x v="0"/>
    <m/>
  </r>
  <r>
    <x v="172"/>
    <s v="Taxi: CNSS-Bureau"/>
    <s v="Transport"/>
    <s v="Office"/>
    <x v="24"/>
    <x v="571"/>
    <n v="534.23810000000003"/>
    <s v="Parfaite"/>
    <s v="P-JU-D1"/>
    <s v="PALF"/>
    <x v="3"/>
    <s v="Congo"/>
    <x v="0"/>
    <x v="0"/>
    <m/>
  </r>
  <r>
    <x v="172"/>
    <s v="Paiement CNSS deuxième trimestre/Avril, Mai et Juin 2025/Crepin /3654899"/>
    <s v="Personnel"/>
    <s v="Legal"/>
    <x v="201"/>
    <x v="572"/>
    <n v="534.23810000000003"/>
    <s v="BCI"/>
    <s v="BQ-JU-R18"/>
    <s v="PALF"/>
    <x v="3"/>
    <s v="Congo"/>
    <x v="0"/>
    <x v="0"/>
    <m/>
  </r>
  <r>
    <x v="172"/>
    <s v="Paiement CNSS deuxième trimestre/Avril, Mai et Juin 2025/Donald-Roméo/3654899"/>
    <s v="Personnel"/>
    <s v="Legal"/>
    <x v="290"/>
    <x v="573"/>
    <n v="534.23810000000003"/>
    <s v="BCI"/>
    <s v="BQ-JU-R19"/>
    <s v="PALF"/>
    <x v="3"/>
    <s v="Congo"/>
    <x v="0"/>
    <x v="0"/>
    <m/>
  </r>
  <r>
    <x v="172"/>
    <s v="Paiement CNSS deuxième trimestre/Avril, Mai et Juin 2025/Romain/3654899"/>
    <s v="Personnel"/>
    <s v="Legal"/>
    <x v="291"/>
    <x v="574"/>
    <n v="534.23810000000003"/>
    <s v="BCI"/>
    <s v="BQ-JU-R20"/>
    <s v="PALF"/>
    <x v="3"/>
    <s v="Congo"/>
    <x v="0"/>
    <x v="0"/>
    <m/>
  </r>
  <r>
    <x v="172"/>
    <s v="Paiement CNSS deuxième trimestre/Avril, Mai et Juin 2025/Roderlin/3654899"/>
    <s v="Personnel"/>
    <s v="Legal"/>
    <x v="203"/>
    <x v="575"/>
    <n v="534.23810000000003"/>
    <s v="BCI"/>
    <s v="BQ-JU-R21"/>
    <s v="PALF"/>
    <x v="3"/>
    <s v="Congo"/>
    <x v="0"/>
    <x v="0"/>
    <m/>
  </r>
  <r>
    <x v="172"/>
    <s v="Paiement CNSS deuxième trimestre/Avril, Mai et Juin 2025/Abraham/3654899"/>
    <s v="Personnel"/>
    <s v="Legal"/>
    <x v="203"/>
    <x v="575"/>
    <n v="534.23810000000003"/>
    <s v="BCI"/>
    <s v="BQ-JU-R22"/>
    <s v="PALF"/>
    <x v="3"/>
    <s v="Congo"/>
    <x v="0"/>
    <x v="0"/>
    <m/>
  </r>
  <r>
    <x v="172"/>
    <s v="Paiement CNSS deuxième trimestre/Avril, Mai et Juin 2025/Parfaite/3654899"/>
    <s v="Personnel"/>
    <s v="Office"/>
    <x v="292"/>
    <x v="576"/>
    <n v="534.23810000000003"/>
    <s v="BCI"/>
    <s v="BQ-JU-R23"/>
    <s v="PALF"/>
    <x v="3"/>
    <s v="Congo"/>
    <x v="0"/>
    <x v="0"/>
    <m/>
  </r>
  <r>
    <x v="172"/>
    <s v="Paiement CNSS deuxième trimestre/Avril, Mai et Juin 2025/Evariste/3654899"/>
    <s v="Personnel"/>
    <s v="Media"/>
    <x v="293"/>
    <x v="577"/>
    <n v="560.94248000000005"/>
    <s v="BCI"/>
    <s v="BQ-JU-R24"/>
    <s v="PALF"/>
    <x v="5"/>
    <s v="Congo"/>
    <x v="0"/>
    <x v="0"/>
    <m/>
  </r>
  <r>
    <x v="173"/>
    <s v="Maison-Bureau"/>
    <s v="Transport"/>
    <s v="Management"/>
    <x v="24"/>
    <x v="571"/>
    <n v="534.23810000000003"/>
    <s v="DOVI"/>
    <s v="DH-JU-D1"/>
    <s v="PALF"/>
    <x v="3"/>
    <s v="Congo"/>
    <x v="0"/>
    <x v="0"/>
    <m/>
  </r>
  <r>
    <x v="173"/>
    <s v="Bureau-Maison"/>
    <s v="Transport"/>
    <s v="Management"/>
    <x v="24"/>
    <x v="571"/>
    <n v="534.23810000000003"/>
    <s v="DOVI"/>
    <s v="DH-JU-D1"/>
    <s v="PALF"/>
    <x v="3"/>
    <s v="Congo"/>
    <x v="0"/>
    <x v="0"/>
    <m/>
  </r>
  <r>
    <x v="173"/>
    <s v="Taxi:  Bureau- Direction MTN/Achat crédits  departement management"/>
    <s v="Transport"/>
    <s v="Office"/>
    <x v="24"/>
    <x v="571"/>
    <n v="534.23810000000003"/>
    <s v="Parfaite"/>
    <s v="P-JU-D1"/>
    <s v="PALF"/>
    <x v="3"/>
    <s v="Congo"/>
    <x v="0"/>
    <x v="0"/>
    <m/>
  </r>
  <r>
    <x v="173"/>
    <s v="Taxi:   Direction MTN- Domicile/Achat crédits  departement management"/>
    <s v="Transport"/>
    <s v="Office"/>
    <x v="24"/>
    <x v="571"/>
    <n v="534.23810000000003"/>
    <s v="Parfaite"/>
    <s v="P-JU-D1"/>
    <s v="PALF"/>
    <x v="3"/>
    <s v="Congo"/>
    <x v="0"/>
    <x v="0"/>
    <m/>
  </r>
  <r>
    <x v="173"/>
    <s v="Credit téléphonique MTN PALF/ du 16 au 31 Juillet 2025/ Parfaite"/>
    <s v="Telephone"/>
    <s v="Management"/>
    <x v="31"/>
    <x v="578"/>
    <n v="534.23810000000003"/>
    <s v="Parfaite"/>
    <s v="P-JU-R1"/>
    <s v="PALF"/>
    <x v="3"/>
    <s v="Congo"/>
    <x v="0"/>
    <x v="0"/>
    <m/>
  </r>
  <r>
    <x v="173"/>
    <s v="Credit teléphonique MTN PALF/ du 16 au 31 Juillet 2025/ DOVI"/>
    <s v="Telephone"/>
    <s v="Management"/>
    <x v="0"/>
    <x v="452"/>
    <n v="560.94248000000005"/>
    <s v="DOVI"/>
    <s v="DH-JU-R2"/>
    <s v="PALF"/>
    <x v="5"/>
    <s v="Congo"/>
    <x v="0"/>
    <x v="0"/>
    <m/>
  </r>
  <r>
    <x v="174"/>
    <s v="Maison-Bureau"/>
    <s v="Transport"/>
    <s v="Management"/>
    <x v="24"/>
    <x v="571"/>
    <n v="534.23810000000003"/>
    <s v="DOVI"/>
    <s v="DH-JU-D1"/>
    <s v="PALF"/>
    <x v="3"/>
    <s v="Congo"/>
    <x v="0"/>
    <x v="0"/>
    <m/>
  </r>
  <r>
    <x v="174"/>
    <s v="Bureau- Interpol"/>
    <s v="Transport"/>
    <s v="Management"/>
    <x v="24"/>
    <x v="571"/>
    <n v="534.23810000000003"/>
    <s v="DOVI"/>
    <s v="DH-JU-D1"/>
    <s v="PALF"/>
    <x v="3"/>
    <s v="Congo"/>
    <x v="0"/>
    <x v="0"/>
    <m/>
  </r>
  <r>
    <x v="174"/>
    <s v="Interpol-Bureau"/>
    <s v="Transport"/>
    <s v="Management"/>
    <x v="24"/>
    <x v="571"/>
    <n v="534.23810000000003"/>
    <s v="DOVI"/>
    <s v="DH-JU-D1"/>
    <s v="PALF"/>
    <x v="3"/>
    <s v="Congo"/>
    <x v="0"/>
    <x v="0"/>
    <m/>
  </r>
  <r>
    <x v="174"/>
    <s v="Bureau-Maison"/>
    <s v="Transport"/>
    <s v="Management"/>
    <x v="24"/>
    <x v="571"/>
    <n v="534.23810000000003"/>
    <s v="DOVI"/>
    <s v="DH-JU-D1"/>
    <s v="PALF"/>
    <x v="3"/>
    <s v="Congo"/>
    <x v="0"/>
    <x v="0"/>
    <m/>
  </r>
  <r>
    <x v="174"/>
    <s v="Taxi: Ecole de police-Bureau/crépin"/>
    <s v="Transport"/>
    <s v="Legal"/>
    <x v="24"/>
    <x v="571"/>
    <n v="534.23810000000003"/>
    <s v="Crépin"/>
    <s v="CR-JU-D1"/>
    <s v="PALF"/>
    <x v="3"/>
    <s v="Congo"/>
    <x v="0"/>
    <x v="0"/>
    <m/>
  </r>
  <r>
    <x v="175"/>
    <s v="Maison- Bureau"/>
    <s v="Transport"/>
    <s v="Management"/>
    <x v="24"/>
    <x v="571"/>
    <n v="534.23810000000003"/>
    <s v="DOVI"/>
    <s v="DH-JU-D1"/>
    <s v="PALF"/>
    <x v="3"/>
    <s v="Congo"/>
    <x v="0"/>
    <x v="0"/>
    <m/>
  </r>
  <r>
    <x v="175"/>
    <s v="Bureau-Cabinet d'huissier"/>
    <s v="Transport"/>
    <s v="Management"/>
    <x v="24"/>
    <x v="571"/>
    <n v="534.23810000000003"/>
    <s v="DOVI"/>
    <s v="DH-JU-D1"/>
    <s v="PALF"/>
    <x v="3"/>
    <s v="Congo"/>
    <x v="0"/>
    <x v="0"/>
    <m/>
  </r>
  <r>
    <x v="175"/>
    <s v="Cabinet d'huissier - Bureau"/>
    <s v="Transport"/>
    <s v="Management"/>
    <x v="24"/>
    <x v="571"/>
    <n v="534.23810000000003"/>
    <s v="DOVI"/>
    <s v="DH-JU-D1"/>
    <s v="PALF"/>
    <x v="3"/>
    <s v="Congo"/>
    <x v="0"/>
    <x v="0"/>
    <m/>
  </r>
  <r>
    <x v="175"/>
    <s v="Bureau-Hôtel PEFACO (rendez vous)"/>
    <s v="Transport"/>
    <s v="Management"/>
    <x v="24"/>
    <x v="571"/>
    <n v="534.23810000000003"/>
    <s v="DOVI"/>
    <s v="DH-JU-D1"/>
    <s v="PALF"/>
    <x v="3"/>
    <s v="Congo"/>
    <x v="0"/>
    <x v="0"/>
    <m/>
  </r>
  <r>
    <x v="175"/>
    <s v="Hôtel PEFACO -Bureau"/>
    <s v="Transport"/>
    <s v="Management"/>
    <x v="24"/>
    <x v="571"/>
    <n v="534.23810000000003"/>
    <s v="DOVI"/>
    <s v="DH-JU-D1"/>
    <s v="PALF"/>
    <x v="3"/>
    <s v="Congo"/>
    <x v="0"/>
    <x v="0"/>
    <m/>
  </r>
  <r>
    <x v="175"/>
    <s v="Bureau-Maison"/>
    <s v="Transport"/>
    <s v="Management"/>
    <x v="24"/>
    <x v="571"/>
    <n v="534.23810000000003"/>
    <s v="DOVI"/>
    <s v="DH-JU-D1"/>
    <s v="PALF"/>
    <x v="3"/>
    <s v="Congo"/>
    <x v="0"/>
    <x v="0"/>
    <m/>
  </r>
  <r>
    <x v="176"/>
    <s v="Maison-Bureau"/>
    <s v="Transport"/>
    <s v="Management"/>
    <x v="24"/>
    <x v="571"/>
    <n v="534.23810000000003"/>
    <s v="DOVI"/>
    <s v="DH-JU-D1"/>
    <s v="PALF"/>
    <x v="3"/>
    <s v="Congo"/>
    <x v="0"/>
    <x v="0"/>
    <m/>
  </r>
  <r>
    <x v="176"/>
    <s v="Bureau-Maison"/>
    <s v="Transport"/>
    <s v="Management"/>
    <x v="24"/>
    <x v="571"/>
    <n v="534.23810000000003"/>
    <s v="DOVI"/>
    <s v="DH-JU-D1"/>
    <s v="PALF"/>
    <x v="3"/>
    <s v="Congo"/>
    <x v="0"/>
    <x v="0"/>
    <m/>
  </r>
  <r>
    <x v="176"/>
    <s v="Taxi:Bureau-Station SNPC Total/Achat carburant/Abraham"/>
    <s v="Transport"/>
    <s v="Legal"/>
    <x v="70"/>
    <x v="579"/>
    <n v="534.23810000000003"/>
    <s v="Abraham"/>
    <s v="AB-JU-D1"/>
    <s v="PALF"/>
    <x v="3"/>
    <s v="Congo"/>
    <x v="0"/>
    <x v="0"/>
    <m/>
  </r>
  <r>
    <x v="176"/>
    <s v="Taxi:Station SNPC Total-Station X-oil Plateau Ville/Achat carburant/Abraham"/>
    <s v="Transport"/>
    <s v="Legal"/>
    <x v="120"/>
    <x v="580"/>
    <n v="534.23810000000003"/>
    <s v="Abraham"/>
    <s v="AB-JU-D1"/>
    <s v="PALF"/>
    <x v="3"/>
    <s v="Congo"/>
    <x v="0"/>
    <x v="0"/>
    <m/>
  </r>
  <r>
    <x v="176"/>
    <s v="Taxi:Station X-oil Plateau Ville-Station SNPC Centre Ville/Achat carburant/Abraham"/>
    <s v="Transport"/>
    <s v="Legal"/>
    <x v="120"/>
    <x v="580"/>
    <n v="534.23810000000003"/>
    <s v="Abraham"/>
    <s v="AB-JU-D1"/>
    <s v="PALF"/>
    <x v="3"/>
    <s v="Congo"/>
    <x v="0"/>
    <x v="0"/>
    <m/>
  </r>
  <r>
    <x v="176"/>
    <s v="Taxi:Station SNPC Ville-Station Total Matsoua/Achat carburant/Abraham"/>
    <s v="Transport"/>
    <s v="Legal"/>
    <x v="70"/>
    <x v="579"/>
    <n v="534.23810000000003"/>
    <s v="Abraham"/>
    <s v="AB-JU-D1"/>
    <s v="PALF"/>
    <x v="3"/>
    <s v="Congo"/>
    <x v="0"/>
    <x v="0"/>
    <m/>
  </r>
  <r>
    <x v="176"/>
    <s v="Taxi:Station Total Matsoua-Station X-oil Patte d'oie/Achat carburant/Abraham"/>
    <s v="Transport"/>
    <s v="Legal"/>
    <x v="70"/>
    <x v="579"/>
    <n v="534.23810000000003"/>
    <s v="Abraham"/>
    <s v="AB-JU-D1"/>
    <s v="PALF"/>
    <x v="3"/>
    <s v="Congo"/>
    <x v="0"/>
    <x v="0"/>
    <m/>
  </r>
  <r>
    <x v="176"/>
    <s v="Taxi: Station X-oil Patte d'oie-Bureau/Achat carburant/Abraham"/>
    <s v="Transport"/>
    <s v="Legal"/>
    <x v="24"/>
    <x v="571"/>
    <n v="534.23810000000003"/>
    <s v="Abraham"/>
    <s v="AB-JU-D1"/>
    <s v="PALF"/>
    <x v="3"/>
    <s v="Congo"/>
    <x v="0"/>
    <x v="0"/>
    <m/>
  </r>
  <r>
    <x v="176"/>
    <s v="Achat carburant groupe electrogène Bureau"/>
    <s v="Office Materiels"/>
    <s v="Office"/>
    <x v="211"/>
    <x v="581"/>
    <n v="534.23810000000003"/>
    <s v="Abraham"/>
    <s v="CA-JU-R3"/>
    <s v="PALF"/>
    <x v="3"/>
    <s v="Congo"/>
    <x v="0"/>
    <x v="0"/>
    <m/>
  </r>
  <r>
    <x v="176"/>
    <s v="Taxi:Station marché total-Station rond-point moungali"/>
    <s v="Transport"/>
    <s v="Legal"/>
    <x v="70"/>
    <x v="579"/>
    <n v="534.23810000000003"/>
    <s v="Roderlin"/>
    <s v="RO-JU-D1"/>
    <s v="PALF"/>
    <x v="3"/>
    <s v="Congo"/>
    <x v="0"/>
    <x v="0"/>
    <m/>
  </r>
  <r>
    <x v="176"/>
    <s v="Taxi:Station rond point Moungali-Station 31 juillet Marché Moungali"/>
    <s v="Transport"/>
    <s v="Legal"/>
    <x v="70"/>
    <x v="579"/>
    <n v="534.23810000000003"/>
    <s v="Roderlin"/>
    <s v="RO-JU-D1"/>
    <s v="PALF"/>
    <x v="3"/>
    <s v="Congo"/>
    <x v="0"/>
    <x v="0"/>
    <m/>
  </r>
  <r>
    <x v="176"/>
    <s v="Taxi:Station marché moungali-Station 10 maisons"/>
    <s v="Transport"/>
    <s v="Legal"/>
    <x v="67"/>
    <x v="582"/>
    <n v="534.23810000000003"/>
    <s v="Roderlin"/>
    <s v="RO-JU-D1"/>
    <s v="PALF"/>
    <x v="3"/>
    <s v="Congo"/>
    <x v="0"/>
    <x v="0"/>
    <m/>
  </r>
  <r>
    <x v="176"/>
    <s v="Achat carburant groupe electrogène Bureau"/>
    <s v="Office Materiels"/>
    <s v="Office"/>
    <x v="211"/>
    <x v="581"/>
    <n v="534.23810000000003"/>
    <s v="Roderlin"/>
    <s v="CA-JU-R4"/>
    <s v="PALF"/>
    <x v="3"/>
    <s v="Congo"/>
    <x v="0"/>
    <x v="0"/>
    <m/>
  </r>
  <r>
    <x v="177"/>
    <s v="Maison-Bureau"/>
    <s v="Transport"/>
    <s v="Management"/>
    <x v="24"/>
    <x v="571"/>
    <n v="534.23810000000003"/>
    <s v="DOVI"/>
    <s v="DH-JU-D1"/>
    <s v="PALF"/>
    <x v="3"/>
    <s v="Congo"/>
    <x v="0"/>
    <x v="0"/>
    <m/>
  </r>
  <r>
    <x v="177"/>
    <s v="Bureau - Maison"/>
    <s v="Transport"/>
    <s v="Management"/>
    <x v="24"/>
    <x v="571"/>
    <n v="534.23810000000003"/>
    <s v="DOVI"/>
    <s v="DH-JU-D1"/>
    <s v="PALF"/>
    <x v="3"/>
    <s v="Congo"/>
    <x v="0"/>
    <x v="0"/>
    <m/>
  </r>
  <r>
    <x v="177"/>
    <s v="Taxi:  Bureau-Banque BCI/ Verification de fonds dans le compte"/>
    <s v="Transport"/>
    <s v="Office"/>
    <x v="24"/>
    <x v="571"/>
    <n v="534.23810000000003"/>
    <s v="Parfaite"/>
    <s v="P-JU-D1"/>
    <s v="PALF"/>
    <x v="3"/>
    <s v="Congo"/>
    <x v="0"/>
    <x v="0"/>
    <m/>
  </r>
  <r>
    <x v="177"/>
    <s v="Taxi:  Banque BCI - CNSS/ vérification des cotisations dans les comptes des agents PALF"/>
    <s v="Transport"/>
    <s v="Office"/>
    <x v="24"/>
    <x v="571"/>
    <n v="534.23810000000003"/>
    <s v="Parfaite"/>
    <s v="P-JU-D1"/>
    <s v="PALF"/>
    <x v="3"/>
    <s v="Congo"/>
    <x v="0"/>
    <x v="0"/>
    <m/>
  </r>
  <r>
    <x v="177"/>
    <s v="Taxi: CNSS- Bureau/Pour les cours Banque et CNSS"/>
    <s v="Transport"/>
    <s v="Office"/>
    <x v="24"/>
    <x v="571"/>
    <n v="534.23810000000003"/>
    <s v="Parfaite"/>
    <s v="P-JU-D1"/>
    <s v="PALF"/>
    <x v="3"/>
    <s v="Congo"/>
    <x v="0"/>
    <x v="0"/>
    <m/>
  </r>
  <r>
    <x v="177"/>
    <s v="Taxi:  Bureau- Direction MTN/Achat crédits  departement legal/ Donald-Roméo"/>
    <s v="Transport"/>
    <s v="Office"/>
    <x v="24"/>
    <x v="571"/>
    <n v="534.23810000000003"/>
    <s v="Parfaite"/>
    <s v="P-JU-D1"/>
    <s v="PALF"/>
    <x v="3"/>
    <s v="Congo"/>
    <x v="0"/>
    <x v="0"/>
    <m/>
  </r>
  <r>
    <x v="177"/>
    <s v="Taxi:   Direction MTN- Domicile/Achat crédits  departement Legal/Donald-Roméo"/>
    <s v="Transport"/>
    <s v="Office"/>
    <x v="24"/>
    <x v="571"/>
    <n v="534.23810000000003"/>
    <s v="Parfaite"/>
    <s v="P-JU-D1"/>
    <s v="PALF"/>
    <x v="3"/>
    <s v="Congo"/>
    <x v="0"/>
    <x v="0"/>
    <m/>
  </r>
  <r>
    <x v="177"/>
    <s v="Credit téléphonique MTN PALF/du 22 au 31 Juillet 2025/Donald-Roméo"/>
    <s v="Telephone"/>
    <s v="Legal"/>
    <x v="31"/>
    <x v="578"/>
    <n v="534.23810000000003"/>
    <s v="Donald-Romeo"/>
    <s v="DR-JU-R1"/>
    <s v="PALF"/>
    <x v="3"/>
    <s v="Congo"/>
    <x v="0"/>
    <x v="0"/>
    <m/>
  </r>
  <r>
    <x v="177"/>
    <s v="Taxi Bureau-Agence trans Bony/ Reservation du billet"/>
    <s v="Transport "/>
    <s v="Legal"/>
    <x v="24"/>
    <x v="571"/>
    <n v="534.23810000000003"/>
    <s v="Donald-Romeo"/>
    <s v="DR-JU-D2"/>
    <s v="PALF"/>
    <x v="3"/>
    <s v="Congo"/>
    <x v="0"/>
    <x v="0"/>
    <m/>
  </r>
  <r>
    <x v="177"/>
    <s v="Achat billet Brazzaville-Owando/ Donald-Roméo"/>
    <s v="Transport "/>
    <s v="Legal"/>
    <x v="12"/>
    <x v="583"/>
    <n v="534.23810000000003"/>
    <s v="Donald-Romeo"/>
    <s v="DR-JU-R2"/>
    <s v="PALF"/>
    <x v="3"/>
    <s v="Congo"/>
    <x v="0"/>
    <x v="0"/>
    <m/>
  </r>
  <r>
    <x v="177"/>
    <s v="Taxi agence Trans Bony-Domicile"/>
    <s v="Transport "/>
    <s v="Legal"/>
    <x v="24"/>
    <x v="571"/>
    <n v="534.23810000000003"/>
    <s v="Donald-Romeo"/>
    <s v="DR-JU-D2"/>
    <s v="PALF"/>
    <x v="3"/>
    <s v="Congo"/>
    <x v="0"/>
    <x v="0"/>
    <m/>
  </r>
  <r>
    <x v="177"/>
    <s v="Taxi, Bureau PALF-CNSS"/>
    <s v="Transport"/>
    <s v="Media"/>
    <x v="24"/>
    <x v="571"/>
    <n v="534.23810000000003"/>
    <s v="Evariste"/>
    <s v="EV-JU-D1"/>
    <s v="PALF"/>
    <x v="3"/>
    <s v="Congo"/>
    <x v="0"/>
    <x v="0"/>
    <m/>
  </r>
  <r>
    <x v="177"/>
    <s v="RAPATRIEME01100 RAO00010768/Fondation Elonga"/>
    <s v="Grant"/>
    <m/>
    <x v="47"/>
    <x v="48"/>
    <n v="537.75419999999997"/>
    <s v="BCI"/>
    <s v="BQ-JU-G2"/>
    <s v="PALF"/>
    <x v="6"/>
    <s v="Congo"/>
    <x v="7"/>
    <x v="4"/>
    <m/>
  </r>
  <r>
    <x v="178"/>
    <s v="Maison-Bureau"/>
    <s v="Transport"/>
    <s v="Management"/>
    <x v="24"/>
    <x v="584"/>
    <n v="537.75419999999997"/>
    <s v="DOVI"/>
    <s v="DH-JU-D1"/>
    <s v="PALF"/>
    <x v="6"/>
    <s v="Congo"/>
    <x v="0"/>
    <x v="0"/>
    <m/>
  </r>
  <r>
    <x v="178"/>
    <s v="Bureau-Maison"/>
    <s v="Transport"/>
    <s v="Management"/>
    <x v="24"/>
    <x v="584"/>
    <n v="537.75419999999997"/>
    <s v="DOVI"/>
    <s v="DH-JU-D1"/>
    <s v="PALF"/>
    <x v="6"/>
    <s v="Congo"/>
    <x v="0"/>
    <x v="0"/>
    <m/>
  </r>
  <r>
    <x v="178"/>
    <s v="Taxi Domicile-Agence trans Bony/ Pour Owando"/>
    <s v="Transport "/>
    <s v="Legal"/>
    <x v="24"/>
    <x v="584"/>
    <n v="537.75419999999997"/>
    <s v="Donald-Romeo"/>
    <s v="DR-JU-D2"/>
    <s v="PALF"/>
    <x v="6"/>
    <s v="Congo"/>
    <x v="0"/>
    <x v="0"/>
    <m/>
  </r>
  <r>
    <x v="178"/>
    <s v="Taxi Agence Trans Bony d'Owando-Hôtel case mbali"/>
    <s v="Transport "/>
    <s v="Legal"/>
    <x v="294"/>
    <x v="585"/>
    <n v="537.75419999999997"/>
    <s v="Donald-Romeo"/>
    <s v="DR-JU-D2"/>
    <s v="PALF"/>
    <x v="6"/>
    <s v="Congo"/>
    <x v="0"/>
    <x v="0"/>
    <m/>
  </r>
  <r>
    <x v="178"/>
    <s v="Donald-Roméo CONGO Ration  du  23 au 25/07/2025 à Owando"/>
    <s v="Travel Subsistence"/>
    <s v="Legal"/>
    <x v="0"/>
    <x v="586"/>
    <n v="537.75419999999997"/>
    <s v="Donald-Romeo"/>
    <s v="DR-JU-D1"/>
    <s v="PALF"/>
    <x v="6"/>
    <s v="Congo"/>
    <x v="0"/>
    <x v="0"/>
    <m/>
  </r>
  <r>
    <x v="179"/>
    <s v="Maison-Bureau"/>
    <s v="Transport"/>
    <s v="Management"/>
    <x v="24"/>
    <x v="584"/>
    <n v="537.75419999999997"/>
    <s v="DOVI"/>
    <s v="DH-JU-D1"/>
    <s v="PALF"/>
    <x v="6"/>
    <s v="Congo"/>
    <x v="0"/>
    <x v="0"/>
    <m/>
  </r>
  <r>
    <x v="179"/>
    <s v="Bureau-Maison"/>
    <s v="Transport"/>
    <s v="Management"/>
    <x v="24"/>
    <x v="584"/>
    <n v="537.75419999999997"/>
    <s v="DOVI"/>
    <s v="DH-JU-D1"/>
    <s v="PALF"/>
    <x v="6"/>
    <s v="Congo"/>
    <x v="0"/>
    <x v="0"/>
    <m/>
  </r>
  <r>
    <x v="179"/>
    <s v="Taxi: Domicile Mayanga-Marché Total pour le bureau après l'appel du Coordinateur/crépin"/>
    <s v="Transport"/>
    <s v="Legal"/>
    <x v="24"/>
    <x v="584"/>
    <n v="537.75419999999997"/>
    <s v="Crépin"/>
    <s v="CR-JU-D1"/>
    <s v="PALF"/>
    <x v="6"/>
    <s v="Congo"/>
    <x v="0"/>
    <x v="0"/>
    <m/>
  </r>
  <r>
    <x v="179"/>
    <s v="Taxi: Marché Total-Bureau/crépin"/>
    <s v="Transport"/>
    <s v="Legal"/>
    <x v="24"/>
    <x v="584"/>
    <n v="537.75419999999997"/>
    <s v="Crépin"/>
    <s v="CR-JU-D1"/>
    <s v="PALF"/>
    <x v="6"/>
    <s v="Congo"/>
    <x v="0"/>
    <x v="0"/>
    <m/>
  </r>
  <r>
    <x v="179"/>
    <s v="Taxi: Bureau-Marché Total/crépin"/>
    <s v="Transport"/>
    <s v="Legal"/>
    <x v="24"/>
    <x v="584"/>
    <n v="537.75419999999997"/>
    <s v="Crépin"/>
    <s v="CR-JU-D1"/>
    <s v="PALF"/>
    <x v="6"/>
    <s v="Congo"/>
    <x v="0"/>
    <x v="0"/>
    <m/>
  </r>
  <r>
    <x v="179"/>
    <s v="Marché Total-Domicile Mayanga/crépin"/>
    <s v="Transport"/>
    <s v="Legal"/>
    <x v="24"/>
    <x v="584"/>
    <n v="537.75419999999997"/>
    <s v="Crépin"/>
    <s v="CR-JU-D1"/>
    <s v="PALF"/>
    <x v="6"/>
    <s v="Congo"/>
    <x v="0"/>
    <x v="0"/>
    <m/>
  </r>
  <r>
    <x v="179"/>
    <s v="Taxi:  Banque BCI - Bureau/ Aprro caisse"/>
    <s v="Transport"/>
    <s v="Office"/>
    <x v="24"/>
    <x v="584"/>
    <n v="537.75419999999997"/>
    <s v="Parfaite"/>
    <s v="P-JU-D1"/>
    <s v="PALF"/>
    <x v="6"/>
    <s v="Congo"/>
    <x v="0"/>
    <x v="0"/>
    <m/>
  </r>
  <r>
    <x v="179"/>
    <s v="Taxi:  Bureau- Direction MTN/Transfert d'argent à Donald-Roméo"/>
    <s v="Transport"/>
    <s v="Office"/>
    <x v="24"/>
    <x v="584"/>
    <n v="537.75419999999997"/>
    <s v="Parfaite"/>
    <s v="P-JU-D1"/>
    <s v="PALF"/>
    <x v="6"/>
    <s v="Congo"/>
    <x v="0"/>
    <x v="0"/>
    <m/>
  </r>
  <r>
    <x v="179"/>
    <s v="Taxi:   Direction MTN- Bureau/ Transfert d'argent et Appros caisse"/>
    <s v="Transport"/>
    <s v="Office"/>
    <x v="24"/>
    <x v="584"/>
    <n v="537.75419999999997"/>
    <s v="Parfaite"/>
    <s v="P-JU-D1"/>
    <s v="PALF"/>
    <x v="6"/>
    <s v="Congo"/>
    <x v="0"/>
    <x v="0"/>
    <m/>
  </r>
  <r>
    <x v="179"/>
    <s v="Frais de transfert d'argent à  Donald-Roméo"/>
    <s v="Transfert fees"/>
    <s v="Office"/>
    <x v="295"/>
    <x v="587"/>
    <n v="537.75419999999997"/>
    <s v="Parfaite"/>
    <s v="CA-JU-R5"/>
    <s v="PALF"/>
    <x v="6"/>
    <s v="Congo"/>
    <x v="0"/>
    <x v="0"/>
    <m/>
  </r>
  <r>
    <x v="179"/>
    <s v="Taxi moto Hôtel Case Mbali-TGI"/>
    <s v="Transport "/>
    <s v="Legal"/>
    <x v="294"/>
    <x v="585"/>
    <n v="537.75419999999997"/>
    <s v="Donald-Romeo"/>
    <s v="DR-JU-D2"/>
    <s v="PALF"/>
    <x v="6"/>
    <s v="Congo"/>
    <x v="0"/>
    <x v="0"/>
    <m/>
  </r>
  <r>
    <x v="179"/>
    <s v="Taxi moto TGI- Agence Trans Bony/ Reserver les billets retour"/>
    <s v="Transport "/>
    <s v="Legal"/>
    <x v="294"/>
    <x v="585"/>
    <n v="537.75419999999997"/>
    <s v="Donald-Romeo"/>
    <s v="DR-JU-D2"/>
    <s v="PALF"/>
    <x v="6"/>
    <s v="Congo"/>
    <x v="0"/>
    <x v="0"/>
    <m/>
  </r>
  <r>
    <x v="179"/>
    <s v="Taxi moto Agence trans Bony- Hôtel Case Mbali"/>
    <s v="Transport "/>
    <s v="Legal"/>
    <x v="294"/>
    <x v="585"/>
    <n v="537.75419999999997"/>
    <s v="Donald-Romeo"/>
    <s v="DR-JU-D2"/>
    <s v="PALF"/>
    <x v="6"/>
    <s v="Congo"/>
    <x v="0"/>
    <x v="0"/>
    <m/>
  </r>
  <r>
    <x v="179"/>
    <s v="Achat billet Owando-Brazzaville/Donald-Roméo"/>
    <s v="Transport "/>
    <s v="Legal"/>
    <x v="12"/>
    <x v="588"/>
    <n v="537.75419999999997"/>
    <s v="Donald-Romeo"/>
    <s v="DR-JU-R3"/>
    <s v="PALF"/>
    <x v="6"/>
    <s v="Congo"/>
    <x v="0"/>
    <x v="0"/>
    <m/>
  </r>
  <r>
    <x v="180"/>
    <s v="Maison-Bureau"/>
    <s v="Transport"/>
    <s v="Management"/>
    <x v="24"/>
    <x v="584"/>
    <n v="537.75419999999997"/>
    <s v="DOVI"/>
    <s v="DH-JU-D1"/>
    <s v="PALF"/>
    <x v="6"/>
    <s v="Congo"/>
    <x v="0"/>
    <x v="0"/>
    <m/>
  </r>
  <r>
    <x v="180"/>
    <s v="Bureau-Maison"/>
    <s v="Transport"/>
    <s v="Management"/>
    <x v="24"/>
    <x v="584"/>
    <n v="537.75419999999997"/>
    <s v="DOVI"/>
    <s v="DH-JU-D1"/>
    <s v="PALF"/>
    <x v="6"/>
    <s v="Congo"/>
    <x v="0"/>
    <x v="0"/>
    <m/>
  </r>
  <r>
    <x v="180"/>
    <s v="Taxi: Domicile-Marché Total pour rencontre avec la comptable/crépin"/>
    <s v="Transport"/>
    <s v="Legal"/>
    <x v="24"/>
    <x v="584"/>
    <n v="537.75419999999997"/>
    <s v="Crépin"/>
    <s v="CR-JU-D1"/>
    <s v="PALF"/>
    <x v="6"/>
    <s v="Congo"/>
    <x v="0"/>
    <x v="0"/>
    <m/>
  </r>
  <r>
    <x v="180"/>
    <s v="Taxi: Marché Total-Domicile/crépin"/>
    <s v="Transport"/>
    <s v="Legal"/>
    <x v="24"/>
    <x v="584"/>
    <n v="537.75419999999997"/>
    <s v="Crépin"/>
    <s v="CR-JU-D1"/>
    <s v="PALF"/>
    <x v="6"/>
    <s v="Congo"/>
    <x v="0"/>
    <x v="0"/>
    <m/>
  </r>
  <r>
    <x v="180"/>
    <s v="Taxi:  Bureau- Cabinet d'avocat/Paiement des frais de notification cas Mervielle"/>
    <s v="Transport"/>
    <s v="Office"/>
    <x v="24"/>
    <x v="584"/>
    <n v="537.75419999999997"/>
    <s v="Parfaite"/>
    <s v="P-JU-D1"/>
    <s v="PALF"/>
    <x v="6"/>
    <s v="Congo"/>
    <x v="0"/>
    <x v="0"/>
    <m/>
  </r>
  <r>
    <x v="180"/>
    <s v="Taxi:  Cabinet d'Avocat - Bureau/Paiement des frais de notification cas Mervielle"/>
    <s v="Transport"/>
    <s v="Office"/>
    <x v="24"/>
    <x v="584"/>
    <n v="537.75419999999997"/>
    <s v="Parfaite"/>
    <s v="P-JU-D1"/>
    <s v="PALF"/>
    <x v="6"/>
    <s v="Congo"/>
    <x v="0"/>
    <x v="0"/>
    <m/>
  </r>
  <r>
    <x v="180"/>
    <s v="Taxi:  Bureau-Banque BCI/ Dépôt ordre de virement salaire du mois de Juillet 2025"/>
    <s v="Transport"/>
    <s v="Office"/>
    <x v="24"/>
    <x v="584"/>
    <n v="537.75419999999997"/>
    <s v="Parfaite"/>
    <s v="P-JU-D1"/>
    <s v="PALF"/>
    <x v="6"/>
    <s v="Congo"/>
    <x v="0"/>
    <x v="0"/>
    <m/>
  </r>
  <r>
    <x v="180"/>
    <s v="Taxi:  Banque BCI - Direction Energie Electrique du congo / Paiement facture d'Electricité du mois de Mai et Juin 2025"/>
    <s v="Transport"/>
    <s v="Office"/>
    <x v="24"/>
    <x v="584"/>
    <n v="537.75419999999997"/>
    <s v="Parfaite"/>
    <s v="P-JU-D1"/>
    <s v="PALF"/>
    <x v="6"/>
    <s v="Congo"/>
    <x v="0"/>
    <x v="0"/>
    <m/>
  </r>
  <r>
    <x v="180"/>
    <s v="Taxi: Direction Energie Electrique du congo-Bureau/ Paiement facture d'Electricité du mois de Mai et Juin 2025 "/>
    <s v="Transport"/>
    <s v="Office"/>
    <x v="24"/>
    <x v="584"/>
    <n v="537.75419999999997"/>
    <s v="Parfaite"/>
    <s v="P-JU-D1"/>
    <s v="PALF"/>
    <x v="6"/>
    <s v="Congo"/>
    <x v="0"/>
    <x v="0"/>
    <m/>
  </r>
  <r>
    <x v="180"/>
    <s v="Taxi:  Bureau- Cabinet maitre LOCKO/remis de chèque du mois de Juin 2025"/>
    <s v="Transport"/>
    <s v="Office"/>
    <x v="24"/>
    <x v="584"/>
    <n v="537.75419999999997"/>
    <s v="Parfaite"/>
    <s v="P-JU-D1"/>
    <s v="PALF"/>
    <x v="6"/>
    <s v="Congo"/>
    <x v="0"/>
    <x v="0"/>
    <m/>
  </r>
  <r>
    <x v="180"/>
    <s v="Taxi:  Cabinet maitre LOCKO - Domicile/remis de chèque du mois de Juin  2025"/>
    <s v="Transport"/>
    <s v="Office"/>
    <x v="24"/>
    <x v="584"/>
    <n v="537.75419999999997"/>
    <s v="Parfaite"/>
    <s v="P-JU-D1"/>
    <s v="PALF"/>
    <x v="6"/>
    <s v="Congo"/>
    <x v="0"/>
    <x v="0"/>
    <m/>
  </r>
  <r>
    <x v="180"/>
    <s v="Réglement facture électricité de la période Mai-Juin 2025/bureau PALF"/>
    <s v="Rent &amp; Utilities"/>
    <s v="Office"/>
    <x v="296"/>
    <x v="589"/>
    <n v="537.75419999999997"/>
    <s v="Parfaite"/>
    <s v="CA-JU-R6"/>
    <s v="PALF"/>
    <x v="6"/>
    <s v="Congo"/>
    <x v="0"/>
    <x v="0"/>
    <m/>
  </r>
  <r>
    <x v="180"/>
    <s v="Donald Roméo-CONGO Frais d'hôtel du  23 au 25/07/2025 à Owando (02 Nuitées)"/>
    <s v="Travel Subsistence"/>
    <s v="Legal"/>
    <x v="44"/>
    <x v="590"/>
    <n v="537.75419999999997"/>
    <s v="Donald-Romeo"/>
    <s v="DR-JU-R4"/>
    <s v="PALF"/>
    <x v="6"/>
    <s v="Congo"/>
    <x v="0"/>
    <x v="0"/>
    <m/>
  </r>
  <r>
    <x v="180"/>
    <s v="Taxi moto Hôtel Case mbali-Agens trans Bony "/>
    <s v="Transport "/>
    <s v="Legal"/>
    <x v="294"/>
    <x v="585"/>
    <n v="537.75419999999997"/>
    <s v="Donald-Romeo"/>
    <s v="DR-JU-D2"/>
    <s v="PALF"/>
    <x v="6"/>
    <s v="Congo"/>
    <x v="0"/>
    <x v="0"/>
    <m/>
  </r>
  <r>
    <x v="180"/>
    <s v="Taxi agence Trans Bony-Domicile"/>
    <s v="Transport "/>
    <s v="Legal"/>
    <x v="24"/>
    <x v="584"/>
    <n v="537.75419999999997"/>
    <s v="Donald-Romeo"/>
    <s v="DR-JU-D2"/>
    <s v="PALF"/>
    <x v="6"/>
    <s v="Congo"/>
    <x v="0"/>
    <x v="0"/>
    <m/>
  </r>
  <r>
    <x v="180"/>
    <s v="Paiement salaire du mois de Juillet 2025/BAVOUMINA NZOUSSI Dina Parfaite/3654406"/>
    <s v="Personnel"/>
    <s v="Office"/>
    <x v="96"/>
    <x v="591"/>
    <n v="537.75419999999997"/>
    <s v="BCI"/>
    <s v="BQ-JU-R26"/>
    <s v="PALF"/>
    <x v="6"/>
    <s v="Congo"/>
    <x v="0"/>
    <x v="0"/>
    <m/>
  </r>
  <r>
    <x v="180"/>
    <s v="Paiement salaire du mois de Juillet 2025/FOUMBA Roderlin/3654404"/>
    <s v="Personnel"/>
    <s v="Legal"/>
    <x v="58"/>
    <x v="592"/>
    <n v="537.75419999999997"/>
    <s v="BCI"/>
    <s v="BQ-JU-R27"/>
    <s v="PALF"/>
    <x v="6"/>
    <s v="Congo"/>
    <x v="0"/>
    <x v="0"/>
    <m/>
  </r>
  <r>
    <x v="180"/>
    <s v="Paiement salaire du mois de Juillet 2025/BOUNGOU MAKOSSO Abraham/3654403"/>
    <s v="Personnel"/>
    <s v="Legal"/>
    <x v="58"/>
    <x v="592"/>
    <n v="537.75419999999997"/>
    <s v="BCI"/>
    <s v="BQ-JU-R28"/>
    <s v="PALF"/>
    <x v="6"/>
    <s v="Congo"/>
    <x v="0"/>
    <x v="0"/>
    <m/>
  </r>
  <r>
    <x v="180"/>
    <s v="Paiement salaire du mois de Juillet 2025/Crepin IBOUILI-IBOUILI"/>
    <s v="Personnel"/>
    <s v="Legal"/>
    <x v="297"/>
    <x v="593"/>
    <n v="537.75419999999997"/>
    <s v="BCI"/>
    <s v="BQ-JU-R29"/>
    <s v="PALF"/>
    <x v="6"/>
    <s v="Congo"/>
    <x v="0"/>
    <x v="0"/>
    <m/>
  </r>
  <r>
    <x v="180"/>
    <s v="Paiement salaire du mois de Juillet 2025/PINDI BINGA Donald- Roméo"/>
    <s v="Personnel"/>
    <s v="Legal"/>
    <x v="8"/>
    <x v="594"/>
    <n v="537.75419999999997"/>
    <s v="BCI"/>
    <s v="BQ-JU-R30"/>
    <s v="PALF"/>
    <x v="6"/>
    <s v="Congo"/>
    <x v="0"/>
    <x v="0"/>
    <m/>
  </r>
  <r>
    <x v="180"/>
    <s v="Paiement salaire du mois de  Juillet 2025/Evariste LELOUSSI"/>
    <s v="Personnel"/>
    <s v="Media"/>
    <x v="62"/>
    <x v="595"/>
    <n v="537.75419999999997"/>
    <s v="BCI"/>
    <s v="BQ-JU-R31"/>
    <s v="PALF"/>
    <x v="6"/>
    <s v="Congo"/>
    <x v="0"/>
    <x v="0"/>
    <m/>
  </r>
  <r>
    <x v="180"/>
    <s v="Paiement salaire du mois de Juillet 2025/LOUNDOU JeanRomain/3654405"/>
    <s v="Personnel"/>
    <s v="Legal"/>
    <x v="298"/>
    <x v="596"/>
    <n v="537.75419999999997"/>
    <s v="BCI"/>
    <s v="BQ-JU-R32"/>
    <s v="PALF"/>
    <x v="6"/>
    <s v="Congo"/>
    <x v="0"/>
    <x v="0"/>
    <m/>
  </r>
  <r>
    <x v="180"/>
    <s v="Frais de virement des salaire du mois Juillet 2025"/>
    <s v="Bank fees"/>
    <s v="Office"/>
    <x v="72"/>
    <x v="597"/>
    <n v="537.75419999999997"/>
    <s v="BCI"/>
    <s v="BQ-JU-R33"/>
    <s v="PALF"/>
    <x v="6"/>
    <s v="Congo"/>
    <x v="0"/>
    <x v="0"/>
    <m/>
  </r>
  <r>
    <x v="181"/>
    <s v="Maison-Bureau"/>
    <s v="Transport"/>
    <s v="Management"/>
    <x v="24"/>
    <x v="584"/>
    <n v="537.75419999999997"/>
    <s v="DOVI"/>
    <s v="DH-JU-D1"/>
    <s v="PALF"/>
    <x v="6"/>
    <s v="Congo"/>
    <x v="0"/>
    <x v="0"/>
    <m/>
  </r>
  <r>
    <x v="181"/>
    <s v="Bureau-Hyppocampe"/>
    <s v="Transport"/>
    <s v="Management"/>
    <x v="24"/>
    <x v="584"/>
    <n v="537.75419999999997"/>
    <s v="DOVI"/>
    <s v="DH-JU-D1"/>
    <s v="PALF"/>
    <x v="6"/>
    <s v="Congo"/>
    <x v="0"/>
    <x v="0"/>
    <m/>
  </r>
  <r>
    <x v="181"/>
    <s v="Aspinall-Bureau"/>
    <s v="Transport"/>
    <s v="Management"/>
    <x v="24"/>
    <x v="584"/>
    <n v="537.75419999999997"/>
    <s v="DOVI"/>
    <s v="DH-JU-D1"/>
    <s v="PALF"/>
    <x v="6"/>
    <s v="Congo"/>
    <x v="0"/>
    <x v="0"/>
    <m/>
  </r>
  <r>
    <x v="181"/>
    <s v="Bureau-Maison"/>
    <s v="Transport"/>
    <s v="Management"/>
    <x v="24"/>
    <x v="584"/>
    <n v="537.75419999999997"/>
    <s v="DOVI"/>
    <s v="DH-JU-D1"/>
    <s v="PALF"/>
    <x v="6"/>
    <s v="Congo"/>
    <x v="0"/>
    <x v="0"/>
    <m/>
  </r>
  <r>
    <x v="181"/>
    <s v="Frais de ramassage d' ordures Juillet 2025"/>
    <s v="Rent et Utilities"/>
    <s v="Office"/>
    <x v="63"/>
    <x v="598"/>
    <n v="537.75419999999997"/>
    <s v="Parfaite"/>
    <s v="CA-JU-R7"/>
    <s v="PALF"/>
    <x v="6"/>
    <s v="Congo"/>
    <x v="0"/>
    <x v="0"/>
    <m/>
  </r>
  <r>
    <x v="181"/>
    <s v=" Frais de prestation de nettoyage du jardin PALF Juillet 2025"/>
    <s v="Services"/>
    <s v="Office"/>
    <x v="0"/>
    <x v="586"/>
    <n v="537.75419999999997"/>
    <s v="Parfaite"/>
    <s v="CA-JU-R8"/>
    <s v="PALF"/>
    <x v="6"/>
    <s v="Congo"/>
    <x v="0"/>
    <x v="0"/>
    <m/>
  </r>
  <r>
    <x v="181"/>
    <s v="Reglement prestation de nettoyage  PALF du mois de Juillet 2025"/>
    <s v="Services"/>
    <s v="Office"/>
    <x v="73"/>
    <x v="599"/>
    <n v="537.75419999999997"/>
    <s v="Parfaite"/>
    <s v="CA-JU-R9"/>
    <s v="PALF"/>
    <x v="6"/>
    <s v="Congo"/>
    <x v="0"/>
    <x v="0"/>
    <m/>
  </r>
  <r>
    <x v="181"/>
    <s v="Achat de 05 ampoules à crochet"/>
    <s v="Office Materiels"/>
    <s v="Office"/>
    <x v="48"/>
    <x v="600"/>
    <n v="537.75419999999997"/>
    <s v="Parfaite"/>
    <s v="CA-JU-R10"/>
    <s v="PALF"/>
    <x v="6"/>
    <s v="Congo"/>
    <x v="0"/>
    <x v="0"/>
    <m/>
  </r>
  <r>
    <x v="181"/>
    <s v="Taxi bureau-Section de Recherches"/>
    <s v="Transport "/>
    <s v="Legal"/>
    <x v="24"/>
    <x v="584"/>
    <n v="537.75419999999997"/>
    <s v="Donald-Romeo"/>
    <s v="DR-JU-D2"/>
    <s v="PALF"/>
    <x v="6"/>
    <s v="Congo"/>
    <x v="0"/>
    <x v="0"/>
    <m/>
  </r>
  <r>
    <x v="181"/>
    <s v="Taxi Section de Recherches-bureau"/>
    <s v="Transport "/>
    <s v="Legal"/>
    <x v="24"/>
    <x v="584"/>
    <n v="537.75419999999997"/>
    <s v="Donald-Romeo"/>
    <s v="DR-JU-D2"/>
    <s v="PALF"/>
    <x v="6"/>
    <s v="Congo"/>
    <x v="0"/>
    <x v="0"/>
    <m/>
  </r>
  <r>
    <x v="181"/>
    <s v="Taxi, Bureau PALF-Les Dépêches de Brazzaville"/>
    <s v="Transport"/>
    <s v="Media"/>
    <x v="24"/>
    <x v="584"/>
    <n v="537.75419999999997"/>
    <s v="Evariste"/>
    <s v="EV-JU-D1"/>
    <s v="PALF"/>
    <x v="6"/>
    <s v="Congo"/>
    <x v="0"/>
    <x v="0"/>
    <m/>
  </r>
  <r>
    <x v="181"/>
    <s v="Taxi, Les Dépêches de Brazzaville-Radio Citoyenne des Jeunes"/>
    <s v="Transport"/>
    <s v="Media"/>
    <x v="24"/>
    <x v="584"/>
    <n v="537.75419999999997"/>
    <s v="Evariste"/>
    <s v="EV-JU-D1"/>
    <s v="PALF"/>
    <x v="6"/>
    <s v="Congo"/>
    <x v="0"/>
    <x v="0"/>
    <m/>
  </r>
  <r>
    <x v="181"/>
    <s v="Bonus média portant sur la condamnation ferme de 03 trafiquants de produits de la faune le 26 Juin 2025 à Impfondo pièces presse Internet"/>
    <s v="Bonus to media officer"/>
    <s v="Media"/>
    <x v="299"/>
    <x v="601"/>
    <n v="537.75419999999997"/>
    <s v="Evariste"/>
    <s v="CA-JU-D2"/>
    <s v="PALF"/>
    <x v="6"/>
    <s v="Congo"/>
    <x v="0"/>
    <x v="0"/>
    <m/>
  </r>
  <r>
    <x v="181"/>
    <s v="Bonus média portant sur la condamnation ferme de 03 trafiquants de produits de la faune le 26 Juin 2025 à Impfondo pièces presse papier(les depêches de brazzaville, l'horizon africain, l'agence congolaise de l'information"/>
    <s v="Bonus to media officer"/>
    <s v="Media"/>
    <x v="44"/>
    <x v="590"/>
    <n v="537.75419999999997"/>
    <s v="Evariste"/>
    <s v="CA-JU-D3"/>
    <s v="PALF"/>
    <x v="6"/>
    <s v="Congo"/>
    <x v="0"/>
    <x v="0"/>
    <m/>
  </r>
  <r>
    <x v="181"/>
    <s v="Bonus media portant sur la condamnation ferme de 03 trafiquants de produits de la faune le 26 Juin 2025 à Impfondo presse Radio citoyenne des jeunes"/>
    <s v="Bonus to media officer"/>
    <s v="Media"/>
    <x v="63"/>
    <x v="598"/>
    <n v="537.75419999999997"/>
    <s v="Evariste"/>
    <s v="CA-JU-D4"/>
    <s v="PALF"/>
    <x v="6"/>
    <s v="Congo"/>
    <x v="0"/>
    <x v="0"/>
    <m/>
  </r>
  <r>
    <x v="181"/>
    <s v="Taxi: Bureau-marché Total/ à la rencontre de maître Hélène"/>
    <s v="Transport"/>
    <s v="Legal"/>
    <x v="24"/>
    <x v="584"/>
    <n v="537.75419999999997"/>
    <s v="Romain"/>
    <s v="RM-JU-D1"/>
    <s v="PALF"/>
    <x v="6"/>
    <s v="Congo"/>
    <x v="0"/>
    <x v="0"/>
    <m/>
  </r>
  <r>
    <x v="181"/>
    <s v="Taxi: Marché Total-Domicile"/>
    <s v="Transport"/>
    <s v="Legal"/>
    <x v="24"/>
    <x v="584"/>
    <n v="537.75419999999997"/>
    <s v="Romain"/>
    <s v="RM-JU-D1"/>
    <s v="PALF"/>
    <x v="6"/>
    <s v="Congo"/>
    <x v="0"/>
    <x v="0"/>
    <m/>
  </r>
  <r>
    <x v="181"/>
    <s v="Solde honoraire contrat N°76_Owando cas EBI Aimé brichly/Maitre Marie Hélène NANITELAMIO MALONGA/ 3654408"/>
    <s v="Lawyer Fees"/>
    <s v="Legal"/>
    <x v="8"/>
    <x v="594"/>
    <n v="537.75419999999997"/>
    <s v="BCI"/>
    <s v="BQ-JU-R34"/>
    <s v="PALF"/>
    <x v="6"/>
    <s v="Congo"/>
    <x v="0"/>
    <x v="0"/>
    <m/>
  </r>
  <r>
    <x v="182"/>
    <s v="Maison-Bureau"/>
    <s v="Transport"/>
    <s v="Management"/>
    <x v="24"/>
    <x v="584"/>
    <n v="537.75419999999997"/>
    <s v="DOVI"/>
    <s v="DH-JU-D1"/>
    <s v="PALF"/>
    <x v="6"/>
    <s v="Congo"/>
    <x v="0"/>
    <x v="0"/>
    <m/>
  </r>
  <r>
    <x v="182"/>
    <s v="Bureau-Maison"/>
    <s v="Transport"/>
    <s v="Management"/>
    <x v="24"/>
    <x v="584"/>
    <n v="537.75419999999997"/>
    <s v="DOVI"/>
    <s v="DH-JU-D1"/>
    <s v="PALF"/>
    <x v="6"/>
    <s v="Congo"/>
    <x v="0"/>
    <x v="0"/>
    <m/>
  </r>
  <r>
    <x v="182"/>
    <s v="Taxi: Bureau -Marché / Achat des Ampoules bureau PALF"/>
    <s v="Transport"/>
    <s v="Office"/>
    <x v="24"/>
    <x v="584"/>
    <n v="537.75419999999997"/>
    <s v="Parfaite"/>
    <s v="P-JU-D1"/>
    <s v="PALF"/>
    <x v="6"/>
    <s v="Congo"/>
    <x v="0"/>
    <x v="0"/>
    <m/>
  </r>
  <r>
    <x v="182"/>
    <s v="Taxi: Marché  - Bureau/ Achat de Ampoules bureau PALF"/>
    <s v="Transport"/>
    <s v="Office"/>
    <x v="24"/>
    <x v="584"/>
    <n v="537.75419999999997"/>
    <s v="Parfaite"/>
    <s v="P-JU-D1"/>
    <s v="PALF"/>
    <x v="6"/>
    <s v="Congo"/>
    <x v="0"/>
    <x v="0"/>
    <m/>
  </r>
  <r>
    <x v="182"/>
    <s v="Frais de notification affaire de merveille/ Maître OKEMBA NGABOMBA"/>
    <s v="Lawyer Fees"/>
    <s v="Legal"/>
    <x v="300"/>
    <x v="602"/>
    <n v="537.75419999999997"/>
    <s v="Parfaite"/>
    <s v="CA-JU-R11"/>
    <s v="PALF"/>
    <x v="6"/>
    <s v="Congo"/>
    <x v="0"/>
    <x v="0"/>
    <m/>
  </r>
  <r>
    <x v="182"/>
    <s v="Achat encre HP Laser noir et couleur 216A"/>
    <s v="Office Materiels"/>
    <s v="Office"/>
    <x v="8"/>
    <x v="594"/>
    <n v="537.75419999999997"/>
    <s v="Parfaite"/>
    <s v="CA-JU-R12"/>
    <s v="PALF"/>
    <x v="6"/>
    <s v="Congo"/>
    <x v="0"/>
    <x v="0"/>
    <m/>
  </r>
  <r>
    <x v="182"/>
    <s v="Achat eau mineral 16 LITRES/Bureau"/>
    <s v="Office Materiels"/>
    <s v="Office"/>
    <x v="7"/>
    <x v="603"/>
    <n v="537.75419999999997"/>
    <s v="Abraham"/>
    <s v="CA-JU-R13"/>
    <s v="PALF"/>
    <x v="6"/>
    <s v="Congo"/>
    <x v="0"/>
    <x v="0"/>
    <m/>
  </r>
  <r>
    <x v="182"/>
    <s v="Taxi, groupecongomedias.com-panoramik-atu.com"/>
    <s v="Transport"/>
    <s v="Media"/>
    <x v="24"/>
    <x v="584"/>
    <n v="537.75419999999997"/>
    <s v="Evariste"/>
    <s v="EV-JU-D1"/>
    <s v="PALF"/>
    <x v="6"/>
    <s v="Congo"/>
    <x v="0"/>
    <x v="0"/>
    <m/>
  </r>
  <r>
    <x v="182"/>
    <s v="Taxi, panoramik-actu.com-tribune-eco.com"/>
    <s v="Transport"/>
    <s v="Media"/>
    <x v="24"/>
    <x v="584"/>
    <n v="537.75419999999997"/>
    <s v="Evariste"/>
    <s v="EV-JU-D1"/>
    <s v="PALF"/>
    <x v="6"/>
    <s v="Congo"/>
    <x v="0"/>
    <x v="0"/>
    <m/>
  </r>
  <r>
    <x v="182"/>
    <s v="Taxi, tribune-eco.com-firstmediac.com"/>
    <s v="Transport"/>
    <s v="Media"/>
    <x v="24"/>
    <x v="584"/>
    <n v="537.75419999999997"/>
    <s v="Evariste"/>
    <s v="EV-JU-D1"/>
    <s v="PALF"/>
    <x v="6"/>
    <s v="Congo"/>
    <x v="0"/>
    <x v="0"/>
    <m/>
  </r>
  <r>
    <x v="182"/>
    <s v="Taxi, firstmediac.com-lesechos-congobrazza.com"/>
    <s v="Transport"/>
    <s v="Media"/>
    <x v="24"/>
    <x v="584"/>
    <n v="537.75419999999997"/>
    <s v="Evariste"/>
    <s v="EV-JU-D1"/>
    <s v="PALF"/>
    <x v="6"/>
    <s v="Congo"/>
    <x v="0"/>
    <x v="0"/>
    <m/>
  </r>
  <r>
    <x v="182"/>
    <s v="Taxi, lesechos-congobrazza.com-Agence Congolaise de l'Information"/>
    <s v="Transport"/>
    <s v="Media"/>
    <x v="24"/>
    <x v="584"/>
    <n v="537.75419999999997"/>
    <s v="Evariste"/>
    <s v="EV-JU-D1"/>
    <s v="PALF"/>
    <x v="6"/>
    <s v="Congo"/>
    <x v="0"/>
    <x v="0"/>
    <m/>
  </r>
  <r>
    <x v="182"/>
    <s v="Taxi, Agence Congolaise de l'Information-opinionpublique.cg"/>
    <s v="Transport"/>
    <s v="Media"/>
    <x v="24"/>
    <x v="584"/>
    <n v="537.75419999999997"/>
    <s v="Evariste"/>
    <s v="EV-JU-D1"/>
    <s v="PALF"/>
    <x v="6"/>
    <s v="Congo"/>
    <x v="0"/>
    <x v="0"/>
    <m/>
  </r>
  <r>
    <x v="182"/>
    <s v="Taxi, opinionpublique.cg-Bureau PALF"/>
    <s v="Transport"/>
    <s v="Media"/>
    <x v="24"/>
    <x v="584"/>
    <n v="537.75419999999997"/>
    <s v="Evariste"/>
    <s v="EV-JU-D1"/>
    <s v="PALF"/>
    <x v="6"/>
    <s v="Congo"/>
    <x v="0"/>
    <x v="0"/>
    <m/>
  </r>
  <r>
    <x v="183"/>
    <s v="Maison-Bureau"/>
    <s v="Transport"/>
    <s v="Management"/>
    <x v="24"/>
    <x v="584"/>
    <n v="537.75419999999997"/>
    <s v="DOVI"/>
    <s v="DH-JU-D1"/>
    <s v="PALF"/>
    <x v="6"/>
    <s v="Congo"/>
    <x v="0"/>
    <x v="0"/>
    <m/>
  </r>
  <r>
    <x v="183"/>
    <s v="Bureau-Maison"/>
    <s v="Transport"/>
    <s v="Management"/>
    <x v="24"/>
    <x v="584"/>
    <n v="537.75419999999997"/>
    <s v="DOVI"/>
    <s v="DH-JU-D1"/>
    <s v="PALF"/>
    <x v="6"/>
    <s v="Congo"/>
    <x v="0"/>
    <x v="0"/>
    <m/>
  </r>
  <r>
    <x v="183"/>
    <s v="Taxi:Bureau- Direction Canal Box/ Paiement internet du mois de Juin 2025"/>
    <s v="Transport"/>
    <s v="Office"/>
    <x v="24"/>
    <x v="584"/>
    <n v="537.75419999999997"/>
    <s v="Parfaite"/>
    <s v="P-JU-D1"/>
    <s v="PALF"/>
    <x v="6"/>
    <s v="Congo"/>
    <x v="0"/>
    <x v="0"/>
    <m/>
  </r>
  <r>
    <x v="183"/>
    <s v="Taxi: Direction Canal Box-Bureau/ Paiement internet du mois de Juin 2025"/>
    <s v="Transport"/>
    <s v="Office"/>
    <x v="24"/>
    <x v="584"/>
    <n v="537.75419999999997"/>
    <s v="Parfaite"/>
    <s v="P-JU-D1"/>
    <s v="PALF"/>
    <x v="6"/>
    <s v="Congo"/>
    <x v="0"/>
    <x v="0"/>
    <m/>
  </r>
  <r>
    <x v="183"/>
    <s v="Reglement facture internet periode du 01/08 au 31/08/2025 bureau PALF"/>
    <s v="Internet"/>
    <s v="Office"/>
    <x v="87"/>
    <x v="604"/>
    <n v="537.75419999999997"/>
    <s v="Parfaite"/>
    <s v="CA-JU-R14"/>
    <s v="PALF"/>
    <x v="6"/>
    <s v="Congo"/>
    <x v="0"/>
    <x v="0"/>
    <m/>
  </r>
  <r>
    <x v="183"/>
    <s v="Reglement honoraire du mois de de Juin 2025/P29/3654409"/>
    <s v="Personnel"/>
    <s v="Investigation"/>
    <x v="301"/>
    <x v="605"/>
    <n v="537.75419999999997"/>
    <s v="BCI"/>
    <s v="BQ-JU-R35"/>
    <s v="PALF"/>
    <x v="6"/>
    <s v="Congo"/>
    <x v="0"/>
    <x v="0"/>
    <m/>
  </r>
  <r>
    <x v="183"/>
    <s v="Reglement honoraire du mois de Juin 2025/T73/3654410"/>
    <m/>
    <s v="Investigation"/>
    <x v="163"/>
    <x v="606"/>
    <n v="537.75419999999997"/>
    <s v="BCI"/>
    <s v="BQ-JU-R36"/>
    <s v="PALF"/>
    <x v="6"/>
    <s v="Congo"/>
    <x v="0"/>
    <x v="0"/>
    <m/>
  </r>
  <r>
    <x v="184"/>
    <s v="Maison-Bureau"/>
    <s v="Transport"/>
    <s v="Management"/>
    <x v="24"/>
    <x v="584"/>
    <n v="537.75419999999997"/>
    <s v="DOVI"/>
    <s v="DH-JU-D1"/>
    <s v="PALF"/>
    <x v="6"/>
    <s v="Congo"/>
    <x v="0"/>
    <x v="0"/>
    <m/>
  </r>
  <r>
    <x v="184"/>
    <s v="Bureau-Maison"/>
    <s v="Transport"/>
    <s v="Management"/>
    <x v="24"/>
    <x v="584"/>
    <n v="537.75419999999997"/>
    <s v="DOVI"/>
    <s v="DH-JU-D1"/>
    <s v="PALF"/>
    <x v="6"/>
    <s v="Congo"/>
    <x v="0"/>
    <x v="0"/>
    <m/>
  </r>
  <r>
    <x v="184"/>
    <s v="Taxi:  Bureau- Direction MTN/Achat crédits  departement legal/ Romain; Roderlin et Abraham"/>
    <s v="Transport"/>
    <s v="Office"/>
    <x v="24"/>
    <x v="584"/>
    <n v="537.75419999999997"/>
    <s v="Parfaite"/>
    <s v="P-JU-D1"/>
    <s v="PALF"/>
    <x v="6"/>
    <s v="Congo"/>
    <x v="0"/>
    <x v="0"/>
    <m/>
  </r>
  <r>
    <x v="184"/>
    <s v="Taxi:   Direction MTN- Domicile/Achat crédits  departement Legal/Romain, Roderlin et Abraham"/>
    <s v="Transport"/>
    <s v="Office"/>
    <x v="24"/>
    <x v="584"/>
    <n v="537.75419999999997"/>
    <s v="Parfaite"/>
    <s v="P-JU-D1"/>
    <s v="PALF"/>
    <x v="6"/>
    <s v="Congo"/>
    <x v="0"/>
    <x v="0"/>
    <m/>
  </r>
  <r>
    <x v="184"/>
    <s v="Credit teléphonique MTN PALF/ du 01 au 15 Août 2025/ Abraham"/>
    <s v="Telephone"/>
    <s v="Legal"/>
    <x v="31"/>
    <x v="607"/>
    <n v="537.75419999999997"/>
    <s v="Abraham"/>
    <s v="AB-JU-R1"/>
    <s v="PALF"/>
    <x v="6"/>
    <s v="Congo"/>
    <x v="0"/>
    <x v="0"/>
    <m/>
  </r>
  <r>
    <x v="184"/>
    <s v="Credit teléphonique MTN PALF du 01 au 15/Août 2025 /Roderlin"/>
    <s v="Telephone"/>
    <s v="Legal"/>
    <x v="31"/>
    <x v="607"/>
    <n v="537.75419999999997"/>
    <s v="Roderlin"/>
    <s v="RO-JU-R1"/>
    <s v="PALF"/>
    <x v="6"/>
    <s v="Congo"/>
    <x v="0"/>
    <x v="0"/>
    <m/>
  </r>
  <r>
    <x v="184"/>
    <s v="Taxi:Bureau-TGI pour le suivi d'audience "/>
    <s v="Transport"/>
    <s v="Legal"/>
    <x v="24"/>
    <x v="584"/>
    <n v="537.75419999999997"/>
    <s v="Roderlin"/>
    <s v="RO-JU-D1"/>
    <s v="PALF"/>
    <x v="6"/>
    <s v="Congo"/>
    <x v="0"/>
    <x v="0"/>
    <m/>
  </r>
  <r>
    <x v="184"/>
    <s v="Taxii:TGI-Bureau"/>
    <s v="Transport"/>
    <s v="Legal"/>
    <x v="24"/>
    <x v="584"/>
    <n v="537.75419999999997"/>
    <s v="Roderlin"/>
    <s v="RO-JU-D1"/>
    <s v="PALF"/>
    <x v="6"/>
    <s v="Congo"/>
    <x v="0"/>
    <x v="0"/>
    <m/>
  </r>
  <r>
    <x v="184"/>
    <s v="Credit teléphonique MTN PALF/du 01au 08 Août  2025/Romain"/>
    <s v="Telephone"/>
    <s v="Legal"/>
    <x v="31"/>
    <x v="607"/>
    <n v="537.75419999999997"/>
    <s v="Romain"/>
    <s v="RM-JU-R1"/>
    <s v="PALF"/>
    <x v="6"/>
    <s v="Congo"/>
    <x v="0"/>
    <x v="0"/>
    <m/>
  </r>
  <r>
    <x v="185"/>
    <s v="Maison - Bureau"/>
    <s v="Transport"/>
    <s v="Management"/>
    <x v="24"/>
    <x v="608"/>
    <n v="560.94200000000001"/>
    <s v="DOVI"/>
    <s v="DH-AU-D1"/>
    <s v="PALF"/>
    <x v="5"/>
    <s v="Congo"/>
    <x v="0"/>
    <x v="0"/>
    <m/>
  </r>
  <r>
    <x v="185"/>
    <s v="Bureau-Maison"/>
    <s v="Transport"/>
    <s v="Management"/>
    <x v="24"/>
    <x v="608"/>
    <n v="560.94200000000001"/>
    <s v="DOVI"/>
    <s v="DH-AU-D1"/>
    <s v="PALF"/>
    <x v="5"/>
    <s v="Congo"/>
    <x v="0"/>
    <x v="0"/>
    <m/>
  </r>
  <r>
    <x v="185"/>
    <s v="Taxi:  Bureau-Banque BCI/ Retrait relevé de compte bancaire du mois de Juillet 2025"/>
    <s v="Transport"/>
    <s v="Office"/>
    <x v="24"/>
    <x v="608"/>
    <n v="560.94200000000001"/>
    <s v="Parfaite"/>
    <s v="P-AU-D1"/>
    <s v="PALF"/>
    <x v="5"/>
    <s v="Congo"/>
    <x v="0"/>
    <x v="0"/>
    <m/>
  </r>
  <r>
    <x v="185"/>
    <s v="Taxi:  Banque BCI - Bureau/ Retrait relevé de compte bancaire du mois de Juillet 2025"/>
    <s v="Transport"/>
    <s v="Office"/>
    <x v="24"/>
    <x v="608"/>
    <n v="560.94200000000001"/>
    <s v="Parfaite"/>
    <s v="P-AU-D1"/>
    <s v="PALF"/>
    <x v="5"/>
    <s v="Congo"/>
    <x v="0"/>
    <x v="0"/>
    <m/>
  </r>
  <r>
    <x v="185"/>
    <s v="Reglement loyer du mois de Juillet 2025/3654407+C31C21CC3:C27"/>
    <s v="Rent &amp; Utilities"/>
    <s v="Office"/>
    <x v="9"/>
    <x v="609"/>
    <n v="560.94200000000001"/>
    <s v="BCI"/>
    <s v="BQ-AU-R2"/>
    <s v="PALF"/>
    <x v="5"/>
    <s v="Congo"/>
    <x v="0"/>
    <x v="0"/>
    <m/>
  </r>
  <r>
    <x v="186"/>
    <s v="Maison-Bureau"/>
    <s v="Transport"/>
    <s v="Management"/>
    <x v="24"/>
    <x v="608"/>
    <n v="560.94200000000001"/>
    <s v="DOVI"/>
    <s v="DH-AU-D1"/>
    <s v="PALF"/>
    <x v="5"/>
    <s v="Congo"/>
    <x v="0"/>
    <x v="0"/>
    <m/>
  </r>
  <r>
    <x v="186"/>
    <s v="Bureau -Maison"/>
    <s v="Transport"/>
    <s v="Management"/>
    <x v="24"/>
    <x v="608"/>
    <n v="560.94200000000001"/>
    <s v="DOVI"/>
    <s v="DH-AU-D1"/>
    <s v="PALF"/>
    <x v="5"/>
    <s v="Congo"/>
    <x v="0"/>
    <x v="0"/>
    <m/>
  </r>
  <r>
    <x v="186"/>
    <s v="Reglement honoraire du mois de Juillet 2025/IT87/3654411"/>
    <s v="Personnel"/>
    <s v="Investigation"/>
    <x v="302"/>
    <x v="610"/>
    <n v="560.94200000000001"/>
    <s v="BCI"/>
    <s v="BQ-AU-R3"/>
    <s v="PALF"/>
    <x v="5"/>
    <s v="Congo"/>
    <x v="0"/>
    <x v="0"/>
    <m/>
  </r>
  <r>
    <x v="187"/>
    <s v="Maison-Bureau"/>
    <s v="Transport"/>
    <s v="Management"/>
    <x v="24"/>
    <x v="608"/>
    <n v="560.94200000000001"/>
    <s v="DOVI"/>
    <s v="DH-AU-D1"/>
    <s v="PALF"/>
    <x v="5"/>
    <s v="Congo"/>
    <x v="0"/>
    <x v="0"/>
    <m/>
  </r>
  <r>
    <x v="187"/>
    <s v="Bureau-Maison"/>
    <s v="Transport"/>
    <s v="Management"/>
    <x v="24"/>
    <x v="608"/>
    <n v="560.94200000000001"/>
    <s v="DOVI"/>
    <s v="DH-AU-D1"/>
    <s v="PALF"/>
    <x v="5"/>
    <s v="Congo"/>
    <x v="0"/>
    <x v="0"/>
    <m/>
  </r>
  <r>
    <x v="187"/>
    <s v="Taxi:  Bureau-Banque BCI/ Vérification des fonds dans le compte bancaire PALF"/>
    <s v="Transport"/>
    <s v="Office"/>
    <x v="24"/>
    <x v="608"/>
    <n v="560.94200000000001"/>
    <s v="Parfaite"/>
    <s v="P-AU-D1"/>
    <s v="PALF"/>
    <x v="5"/>
    <s v="Congo"/>
    <x v="0"/>
    <x v="0"/>
    <m/>
  </r>
  <r>
    <x v="187"/>
    <s v="Taxi:  Banque BCI - Bureau/Verification des fonds dans le compte bancaire PALF"/>
    <s v="Transport"/>
    <s v="Office"/>
    <x v="24"/>
    <x v="608"/>
    <n v="560.94200000000001"/>
    <s v="Parfaite"/>
    <s v="P-AU-D1"/>
    <s v="PALF"/>
    <x v="5"/>
    <s v="Congo"/>
    <x v="0"/>
    <x v="0"/>
    <m/>
  </r>
  <r>
    <x v="188"/>
    <s v="Maison-Bureau"/>
    <s v="Transport"/>
    <s v="Management"/>
    <x v="24"/>
    <x v="608"/>
    <n v="560.94200000000001"/>
    <s v="DOVI"/>
    <s v="DH-AU-D1"/>
    <s v="PALF"/>
    <x v="5"/>
    <s v="Congo"/>
    <x v="0"/>
    <x v="0"/>
    <m/>
  </r>
  <r>
    <x v="188"/>
    <s v="Bureau-Maison"/>
    <s v="Transport"/>
    <s v="Management"/>
    <x v="24"/>
    <x v="608"/>
    <n v="560.94200000000001"/>
    <s v="DOVI"/>
    <s v="DH-AU-D1"/>
    <s v="PALF"/>
    <x v="5"/>
    <s v="Congo"/>
    <x v="0"/>
    <x v="0"/>
    <m/>
  </r>
  <r>
    <x v="188"/>
    <s v="Taxi:  Bureau-Banque BCI/ Vérification des fonds dans le compte bancaire PALF"/>
    <s v="Transport"/>
    <s v="Office"/>
    <x v="24"/>
    <x v="608"/>
    <n v="560.94200000000001"/>
    <s v="Parfaite"/>
    <s v="P-AU-D1"/>
    <s v="PALF"/>
    <x v="5"/>
    <s v="Congo"/>
    <x v="0"/>
    <x v="0"/>
    <m/>
  </r>
  <r>
    <x v="188"/>
    <s v="Taxi:  Banque BCI - Bureau/Verification des fonds dans le compte bancaire PALF"/>
    <s v="Transport"/>
    <s v="Office"/>
    <x v="24"/>
    <x v="608"/>
    <n v="560.94200000000001"/>
    <s v="Parfaite"/>
    <s v="P-AU-D1"/>
    <s v="PALF"/>
    <x v="5"/>
    <s v="Congo"/>
    <x v="0"/>
    <x v="0"/>
    <m/>
  </r>
  <r>
    <x v="189"/>
    <s v="Maison- Bureau"/>
    <s v="Transport"/>
    <s v="Management"/>
    <x v="24"/>
    <x v="608"/>
    <n v="560.94200000000001"/>
    <s v="DOVI"/>
    <s v="DH-AU-D1"/>
    <s v="PALF"/>
    <x v="5"/>
    <s v="Congo"/>
    <x v="0"/>
    <x v="0"/>
    <m/>
  </r>
  <r>
    <x v="189"/>
    <s v="Bureau-Maison"/>
    <s v="Transport"/>
    <s v="Management"/>
    <x v="24"/>
    <x v="608"/>
    <n v="560.94200000000001"/>
    <s v="DOVI"/>
    <s v="DH-AU-D1"/>
    <s v="PALF"/>
    <x v="5"/>
    <s v="Congo"/>
    <x v="0"/>
    <x v="0"/>
    <m/>
  </r>
  <r>
    <x v="189"/>
    <s v="Règlement loyer Juillet 2025/Coordinateur"/>
    <s v="Personnel"/>
    <s v="Management"/>
    <x v="85"/>
    <x v="611"/>
    <n v="560.94200000000001"/>
    <s v="DOVI"/>
    <s v="DH-AU-R1"/>
    <s v="PALF"/>
    <x v="5"/>
    <s v="Congo"/>
    <x v="0"/>
    <x v="0"/>
    <m/>
  </r>
  <r>
    <x v="189"/>
    <s v="Taxi:  Bureau- Société de gardiennage/remis de chèque du mois de Juillet 2025"/>
    <s v="Transport"/>
    <s v="Office"/>
    <x v="24"/>
    <x v="608"/>
    <n v="560.94200000000001"/>
    <s v="Parfaite"/>
    <s v="P-AU-D1"/>
    <s v="PALF"/>
    <x v="5"/>
    <s v="Congo"/>
    <x v="0"/>
    <x v="0"/>
    <m/>
  </r>
  <r>
    <x v="189"/>
    <s v="Taxi:  Societé de gardiennage  - Bureau/remis de chèque du mois de Juillet 2025"/>
    <s v="Transport"/>
    <s v="Office"/>
    <x v="24"/>
    <x v="608"/>
    <n v="560.94200000000001"/>
    <s v="Parfaite"/>
    <s v="P-AU-D1"/>
    <s v="PALF"/>
    <x v="5"/>
    <s v="Congo"/>
    <x v="0"/>
    <x v="0"/>
    <m/>
  </r>
  <r>
    <x v="189"/>
    <s v="Taxi:  Bureau- Direction MTN/Achat crédits  departement Investigation"/>
    <s v="Transport"/>
    <s v="Office"/>
    <x v="24"/>
    <x v="608"/>
    <n v="560.94200000000001"/>
    <s v="Parfaite"/>
    <s v="P-AU-D1"/>
    <s v="PALF"/>
    <x v="5"/>
    <s v="Congo"/>
    <x v="0"/>
    <x v="0"/>
    <m/>
  </r>
  <r>
    <x v="189"/>
    <s v="Taxi:   Direction MTN- Domicile/Achat crédits  departement Investigation"/>
    <s v="Transport"/>
    <s v="Office"/>
    <x v="24"/>
    <x v="608"/>
    <n v="560.94200000000001"/>
    <s v="Parfaite"/>
    <s v="P-AU-D1"/>
    <s v="PALF"/>
    <x v="5"/>
    <s v="Congo"/>
    <x v="0"/>
    <x v="0"/>
    <m/>
  </r>
  <r>
    <x v="189"/>
    <s v="Credit telephonique MTN PALF/ du 07 au 10 Août 2025/ Investigation/P29"/>
    <s v="Telephone"/>
    <s v="Investigation"/>
    <x v="31"/>
    <x v="612"/>
    <n v="560.94200000000001"/>
    <s v="P29"/>
    <s v="P29-AU-R1"/>
    <s v="PALF"/>
    <x v="5"/>
    <s v="Congo"/>
    <x v="0"/>
    <x v="0"/>
    <m/>
  </r>
  <r>
    <x v="189"/>
    <s v="Credit telephonique MTN PALF/ du 07 au 10 Août 2025/ Investigation/T73"/>
    <s v="Telephone"/>
    <s v="Investigation"/>
    <x v="31"/>
    <x v="612"/>
    <n v="560.94200000000001"/>
    <s v="T73"/>
    <s v="T73-AU-R1"/>
    <s v="PALF"/>
    <x v="5"/>
    <s v="Congo"/>
    <x v="0"/>
    <x v="0"/>
    <m/>
  </r>
  <r>
    <x v="189"/>
    <s v="Credit telephonique MTN PALF/du 07au 10 Aout 2025/IT87"/>
    <s v="Telephone"/>
    <s v="Investigation"/>
    <x v="31"/>
    <x v="612"/>
    <n v="560.94200000000001"/>
    <s v="IT87"/>
    <s v="IT87-AU-R1"/>
    <s v="PALF"/>
    <x v="5"/>
    <s v="Congo"/>
    <x v="0"/>
    <x v="0"/>
    <m/>
  </r>
  <r>
    <x v="189"/>
    <s v="Credit telephonique MTN PALF/du 07au 10 Aout 2025/G12"/>
    <s v="Telephone"/>
    <s v="Investigation"/>
    <x v="31"/>
    <x v="612"/>
    <n v="560.94200000000001"/>
    <s v="G12"/>
    <s v="G12-AU-R1"/>
    <s v="PALF"/>
    <x v="5"/>
    <s v="Congo"/>
    <x v="0"/>
    <x v="0"/>
    <m/>
  </r>
  <r>
    <x v="189"/>
    <s v="Reglement Facture Gardiennage Mois Juillet 2025/3654414"/>
    <s v="Services"/>
    <s v="Office"/>
    <x v="10"/>
    <x v="613"/>
    <n v="560.94200000000001"/>
    <s v="BCI"/>
    <s v="BQ-AU-R4"/>
    <s v="PALF"/>
    <x v="5"/>
    <s v="Congo"/>
    <x v="0"/>
    <x v="0"/>
    <m/>
  </r>
  <r>
    <x v="190"/>
    <s v="Maison-Bureau"/>
    <s v="Transport"/>
    <s v="Management"/>
    <x v="24"/>
    <x v="608"/>
    <n v="560.94200000000001"/>
    <s v="DOVI"/>
    <s v="DH-AU-D1"/>
    <s v="PALF"/>
    <x v="5"/>
    <s v="Congo"/>
    <x v="0"/>
    <x v="0"/>
    <m/>
  </r>
  <r>
    <x v="190"/>
    <s v="Bureau-Maison"/>
    <s v="Transport"/>
    <s v="Management"/>
    <x v="24"/>
    <x v="608"/>
    <n v="560.94200000000001"/>
    <s v="DOVI"/>
    <s v="DH-AU-D1"/>
    <s v="PALF"/>
    <x v="5"/>
    <s v="Congo"/>
    <x v="0"/>
    <x v="0"/>
    <m/>
  </r>
  <r>
    <x v="190"/>
    <s v="Taxi:  Bureau-Banque BCI/ Vérification des fonds dans le compte bancaire PALF"/>
    <s v="Transport"/>
    <s v="Office"/>
    <x v="24"/>
    <x v="608"/>
    <n v="560.94200000000001"/>
    <s v="Parfaite"/>
    <s v="P-AU-D1"/>
    <s v="PALF"/>
    <x v="5"/>
    <s v="Congo"/>
    <x v="0"/>
    <x v="0"/>
    <m/>
  </r>
  <r>
    <x v="190"/>
    <s v="Taxi:  Banque BCI - Bureau/Verification des fonds dans le compte bancaire PALF"/>
    <s v="Transport"/>
    <s v="Office"/>
    <x v="120"/>
    <x v="614"/>
    <n v="560.94200000000001"/>
    <s v="Parfaite"/>
    <s v="P-AU-D1"/>
    <s v="PALF"/>
    <x v="5"/>
    <s v="Congo"/>
    <x v="0"/>
    <x v="0"/>
    <m/>
  </r>
  <r>
    <x v="191"/>
    <s v="Maison-Bureau"/>
    <s v="Transport"/>
    <s v="Management"/>
    <x v="24"/>
    <x v="608"/>
    <n v="560.94200000000001"/>
    <s v="DOVI"/>
    <s v="DH-AU-D1"/>
    <s v="PALF"/>
    <x v="5"/>
    <s v="Congo"/>
    <x v="0"/>
    <x v="0"/>
    <m/>
  </r>
  <r>
    <x v="191"/>
    <s v="Bureau-Maison"/>
    <s v="Transport"/>
    <s v="Management"/>
    <x v="24"/>
    <x v="608"/>
    <n v="560.94200000000001"/>
    <s v="DOVI"/>
    <s v="DH-AU-D1"/>
    <s v="PALF"/>
    <x v="5"/>
    <s v="Congo"/>
    <x v="0"/>
    <x v="0"/>
    <m/>
  </r>
  <r>
    <x v="191"/>
    <s v="Taxi:  Bureau-Banque BCI/ Vérification des fonds dans le compte bancaire PALF"/>
    <s v="Transport"/>
    <s v="Office"/>
    <x v="120"/>
    <x v="614"/>
    <n v="560.94200000000001"/>
    <s v="Parfaite"/>
    <s v="P-AU-D1"/>
    <s v="PALF"/>
    <x v="5"/>
    <s v="Congo"/>
    <x v="0"/>
    <x v="0"/>
    <m/>
  </r>
  <r>
    <x v="191"/>
    <s v="Taxi:  Banque BCI - Bureau/Verification des fonds dans le compte bancaire PALF"/>
    <s v="Transport"/>
    <s v="Office"/>
    <x v="70"/>
    <x v="615"/>
    <n v="560.94200000000001"/>
    <s v="Parfaite"/>
    <s v="P-AU-D1"/>
    <s v="PALF"/>
    <x v="5"/>
    <s v="Congo"/>
    <x v="0"/>
    <x v="0"/>
    <m/>
  </r>
  <r>
    <x v="191"/>
    <s v="Taxi bureau-moungali,prospection"/>
    <s v="Transport"/>
    <s v="Investigation"/>
    <x v="24"/>
    <x v="608"/>
    <n v="560.94200000000001"/>
    <s v="P29"/>
    <s v="P29-AU-D1"/>
    <s v="PALF"/>
    <x v="5"/>
    <s v="Congo"/>
    <x v="0"/>
    <x v="0"/>
    <m/>
  </r>
  <r>
    <x v="191"/>
    <s v="Taxi moungali-mapassi,prospection"/>
    <s v="Transport"/>
    <s v="Investigation"/>
    <x v="24"/>
    <x v="608"/>
    <n v="560.94200000000001"/>
    <s v="P29"/>
    <s v="P29-AU-D1"/>
    <s v="PALF"/>
    <x v="5"/>
    <s v="Congo"/>
    <x v="0"/>
    <x v="0"/>
    <m/>
  </r>
  <r>
    <x v="191"/>
    <s v="Taxi mapassi-la fleur,prospection"/>
    <s v="Transport"/>
    <s v="Investigation"/>
    <x v="24"/>
    <x v="608"/>
    <n v="560.94200000000001"/>
    <s v="P29"/>
    <s v="P29-AU-D1"/>
    <s v="PALF"/>
    <x v="5"/>
    <s v="Congo"/>
    <x v="0"/>
    <x v="0"/>
    <m/>
  </r>
  <r>
    <x v="191"/>
    <s v="Taxi la fleur -domicile"/>
    <s v="Transport"/>
    <s v="Investigation"/>
    <x v="120"/>
    <x v="614"/>
    <n v="560.94200000000001"/>
    <s v="P29"/>
    <s v="P29-AU-D1"/>
    <s v="PALF"/>
    <x v="5"/>
    <s v="Congo"/>
    <x v="0"/>
    <x v="0"/>
    <m/>
  </r>
  <r>
    <x v="191"/>
    <s v="Achat boisson à un cible"/>
    <s v="Trust Building"/>
    <s v="Investigation"/>
    <x v="24"/>
    <x v="608"/>
    <n v="560.94200000000001"/>
    <s v="P29"/>
    <s v="P29-AU-D2"/>
    <s v="PALF"/>
    <x v="5"/>
    <s v="Congo"/>
    <x v="0"/>
    <x v="0"/>
    <m/>
  </r>
  <r>
    <x v="191"/>
    <s v="Taxi : bureau - centre ville (prospection à Brazzaville)"/>
    <s v="Transport"/>
    <s v="Investigation"/>
    <x v="24"/>
    <x v="608"/>
    <n v="560.94200000000001"/>
    <s v="T73"/>
    <s v="T73-AU-D1"/>
    <s v="PALF"/>
    <x v="5"/>
    <s v="Congo"/>
    <x v="0"/>
    <x v="0"/>
    <m/>
  </r>
  <r>
    <x v="191"/>
    <s v="Taxi : centre ville - moungali (prospection à Brazzaville)"/>
    <s v="Transport"/>
    <s v="Investigation"/>
    <x v="24"/>
    <x v="608"/>
    <n v="560.94200000000001"/>
    <s v="T73"/>
    <s v="T73-AU-D1"/>
    <s v="PALF"/>
    <x v="5"/>
    <s v="Congo"/>
    <x v="0"/>
    <x v="0"/>
    <m/>
  </r>
  <r>
    <x v="191"/>
    <s v="taxi : moungali - domicile (prospection à Brazzaville)"/>
    <s v="Transport"/>
    <s v="Investigation"/>
    <x v="24"/>
    <x v="608"/>
    <n v="560.94200000000001"/>
    <s v="T73"/>
    <s v="T73-AU-D1"/>
    <s v="PALF"/>
    <x v="5"/>
    <s v="Congo"/>
    <x v="0"/>
    <x v="0"/>
    <m/>
  </r>
  <r>
    <x v="191"/>
    <s v="Taxi : Bureau - Diata/ Prospection"/>
    <s v="Transport"/>
    <s v="Investigation"/>
    <x v="24"/>
    <x v="608"/>
    <n v="560.94200000000001"/>
    <s v="IT87"/>
    <s v="IT87-AU-D1"/>
    <s v="PALF"/>
    <x v="5"/>
    <s v="Congo"/>
    <x v="0"/>
    <x v="0"/>
    <m/>
  </r>
  <r>
    <x v="191"/>
    <s v="Taxi : Diata - Bifouiti/ Rencontre avec la cible"/>
    <s v="Transport"/>
    <s v="Investigation"/>
    <x v="70"/>
    <x v="615"/>
    <n v="560.94200000000001"/>
    <s v="IT87"/>
    <s v="IT87-AU-D1"/>
    <s v="PALF"/>
    <x v="5"/>
    <s v="Congo"/>
    <x v="0"/>
    <x v="0"/>
    <m/>
  </r>
  <r>
    <x v="191"/>
    <s v="Taxi : Bifouiti - Domicile/ Retour de prospection"/>
    <s v="Transport"/>
    <s v="Investigation"/>
    <x v="75"/>
    <x v="616"/>
    <n v="560.94200000000001"/>
    <s v="IT87"/>
    <s v="IT87-AU-D1"/>
    <s v="PALF"/>
    <x v="5"/>
    <s v="Congo"/>
    <x v="0"/>
    <x v="0"/>
    <m/>
  </r>
  <r>
    <x v="191"/>
    <s v="Taxi: Bureau- mikalou /prospection"/>
    <s v="Transport"/>
    <s v="Investigation"/>
    <x v="24"/>
    <x v="608"/>
    <n v="560.94200000000001"/>
    <s v="G12"/>
    <s v="G12-AU-D1"/>
    <s v="PALF"/>
    <x v="5"/>
    <s v="Congo"/>
    <x v="0"/>
    <x v="0"/>
    <m/>
  </r>
  <r>
    <x v="191"/>
    <s v="Taxi :Mikalou - domicile"/>
    <s v="Transport"/>
    <s v="Investigation"/>
    <x v="24"/>
    <x v="608"/>
    <n v="560.94200000000001"/>
    <s v="G12"/>
    <s v="G12-AU-D1"/>
    <s v="PALF"/>
    <x v="5"/>
    <s v="Congo"/>
    <x v="0"/>
    <x v="0"/>
    <m/>
  </r>
  <r>
    <x v="192"/>
    <s v="Maison-Bureau"/>
    <s v="Transport"/>
    <s v="Management"/>
    <x v="24"/>
    <x v="608"/>
    <n v="560.94200000000001"/>
    <s v="DOVI"/>
    <s v="DH-AU-D1"/>
    <s v="PALF"/>
    <x v="5"/>
    <s v="Congo"/>
    <x v="0"/>
    <x v="0"/>
    <m/>
  </r>
  <r>
    <x v="192"/>
    <s v="Bureau-Maison"/>
    <s v="Transport"/>
    <s v="Management"/>
    <x v="24"/>
    <x v="608"/>
    <n v="560.94200000000001"/>
    <s v="DOVI"/>
    <s v="DH-AU-D1"/>
    <s v="PALF"/>
    <x v="5"/>
    <s v="Congo"/>
    <x v="0"/>
    <x v="0"/>
    <m/>
  </r>
  <r>
    <x v="192"/>
    <s v="Taxi : bureau - zone campus (prospection à Brazzaville)"/>
    <s v="Transport"/>
    <s v="Investigation"/>
    <x v="24"/>
    <x v="608"/>
    <n v="560.94200000000001"/>
    <s v="T73"/>
    <s v="T73-AU-D1"/>
    <s v="PALF"/>
    <x v="5"/>
    <s v="Congo"/>
    <x v="0"/>
    <x v="0"/>
    <m/>
  </r>
  <r>
    <x v="192"/>
    <s v="Taxi : zone campus - quartier Mfoa (prospection à Brazzaville)"/>
    <s v="Transport"/>
    <s v="Investigation"/>
    <x v="24"/>
    <x v="608"/>
    <n v="560.94200000000001"/>
    <s v="T73"/>
    <s v="T73-AU-D1"/>
    <s v="PALF"/>
    <x v="5"/>
    <s v="Congo"/>
    <x v="0"/>
    <x v="0"/>
    <m/>
  </r>
  <r>
    <x v="192"/>
    <s v="Taxi : quartier Mfoa - poto poto (prospection à Brazzaville)"/>
    <s v="Transport"/>
    <s v="Investigation"/>
    <x v="24"/>
    <x v="608"/>
    <n v="560.94200000000001"/>
    <s v="T73"/>
    <s v="T73-AU-D1"/>
    <s v="PALF"/>
    <x v="5"/>
    <s v="Congo"/>
    <x v="0"/>
    <x v="0"/>
    <m/>
  </r>
  <r>
    <x v="192"/>
    <s v="Taxi : poto poto - domicile (prospection à Brazzaville)"/>
    <s v="Transport"/>
    <s v="Investigation"/>
    <x v="24"/>
    <x v="608"/>
    <n v="560.94200000000001"/>
    <s v="T73"/>
    <s v="T73-AU-D1"/>
    <s v="PALF"/>
    <x v="5"/>
    <s v="Congo"/>
    <x v="0"/>
    <x v="0"/>
    <m/>
  </r>
  <r>
    <x v="192"/>
    <s v="achat boisson ( une cible)"/>
    <s v="Trust Building"/>
    <s v="Investigation"/>
    <x v="70"/>
    <x v="615"/>
    <n v="560.94200000000001"/>
    <s v="T73"/>
    <s v="T73-AU-D2"/>
    <s v="PALF"/>
    <x v="5"/>
    <s v="Congo"/>
    <x v="0"/>
    <x v="0"/>
    <m/>
  </r>
  <r>
    <x v="192"/>
    <s v="Taxi : Bureau - Marché Diata/ Prospection"/>
    <s v="Transport"/>
    <s v="Investigation"/>
    <x v="24"/>
    <x v="608"/>
    <n v="560.94200000000001"/>
    <s v="IT87"/>
    <s v="IT87-AU-D1"/>
    <s v="PALF"/>
    <x v="5"/>
    <s v="Congo"/>
    <x v="0"/>
    <x v="0"/>
    <m/>
  </r>
  <r>
    <x v="192"/>
    <s v="Taxi : Marché Diata - Av de la paix/ prospection"/>
    <s v="Transport"/>
    <s v="Investigation"/>
    <x v="120"/>
    <x v="614"/>
    <n v="560.94200000000001"/>
    <s v="IT87"/>
    <s v="IT87-AU-D1"/>
    <s v="PALF"/>
    <x v="5"/>
    <s v="Congo"/>
    <x v="0"/>
    <x v="0"/>
    <m/>
  </r>
  <r>
    <x v="192"/>
    <s v="Taxi : Av de la paix - Domicile/ Retour de prospection"/>
    <s v="Transport"/>
    <s v="Investigation"/>
    <x v="75"/>
    <x v="616"/>
    <n v="560.94200000000001"/>
    <s v="IT87"/>
    <s v="IT87-AU-D1"/>
    <s v="PALF"/>
    <x v="5"/>
    <s v="Congo"/>
    <x v="0"/>
    <x v="0"/>
    <m/>
  </r>
  <r>
    <x v="192"/>
    <s v="Taxi : Bureau - marché bifouiti , prospection"/>
    <s v="Transport"/>
    <s v="Investigation"/>
    <x v="24"/>
    <x v="608"/>
    <n v="560.94200000000001"/>
    <s v="G12"/>
    <s v="G12-AU-D1"/>
    <s v="PALF"/>
    <x v="5"/>
    <s v="Congo"/>
    <x v="0"/>
    <x v="0"/>
    <m/>
  </r>
  <r>
    <x v="192"/>
    <s v="Taxi: marché bifouiti- marché bouro /prospection"/>
    <s v="Transport"/>
    <s v="Investigation"/>
    <x v="24"/>
    <x v="608"/>
    <n v="560.94200000000001"/>
    <s v="G12"/>
    <s v="G12-AU-D1"/>
    <s v="PALF"/>
    <x v="5"/>
    <s v="Congo"/>
    <x v="0"/>
    <x v="0"/>
    <m/>
  </r>
  <r>
    <x v="192"/>
    <s v="Taxi: marché bouro - quartier comission /prospection"/>
    <s v="Transport"/>
    <s v="Investigation"/>
    <x v="24"/>
    <x v="608"/>
    <n v="560.94200000000001"/>
    <s v="G12"/>
    <s v="G12-AU-D1"/>
    <s v="PALF"/>
    <x v="5"/>
    <s v="Congo"/>
    <x v="0"/>
    <x v="0"/>
    <m/>
  </r>
  <r>
    <x v="192"/>
    <s v="Taxi: Quartier comission- domicile"/>
    <s v="Transport"/>
    <s v="Investigation"/>
    <x v="24"/>
    <x v="608"/>
    <n v="560.94200000000001"/>
    <s v="G12"/>
    <s v="G12-AU-D1"/>
    <s v="PALF"/>
    <x v="5"/>
    <s v="Congo"/>
    <x v="0"/>
    <x v="0"/>
    <m/>
  </r>
  <r>
    <x v="193"/>
    <s v="Maison-Bureau"/>
    <s v="Transport"/>
    <s v="Management"/>
    <x v="24"/>
    <x v="608"/>
    <n v="560.94200000000001"/>
    <s v="DOVI"/>
    <s v="DH-AU-D1"/>
    <s v="PALF"/>
    <x v="5"/>
    <s v="Congo"/>
    <x v="0"/>
    <x v="0"/>
    <m/>
  </r>
  <r>
    <x v="193"/>
    <s v="Bureau-Maison"/>
    <s v="Transport"/>
    <s v="Management"/>
    <x v="24"/>
    <x v="608"/>
    <n v="560.94200000000001"/>
    <s v="DOVI"/>
    <s v="DH-AU-D1"/>
    <s v="PALF"/>
    <x v="5"/>
    <s v="Congo"/>
    <x v="0"/>
    <x v="0"/>
    <m/>
  </r>
  <r>
    <x v="193"/>
    <s v="Taxi:  Bureau-Banque BCI/ Appro caisse PALF"/>
    <s v="Transport"/>
    <s v="Office"/>
    <x v="120"/>
    <x v="48"/>
    <n v="560.94200000000001"/>
    <s v="Parfaite"/>
    <s v="P-AU-D1"/>
    <s v="PALF"/>
    <x v="5"/>
    <s v="Congo"/>
    <x v="0"/>
    <x v="0"/>
    <m/>
  </r>
  <r>
    <x v="193"/>
    <s v="Taxi:  Banque BCI - Bureau/Appro caisse  PALF"/>
    <s v="Transport"/>
    <s v="Office"/>
    <x v="120"/>
    <x v="614"/>
    <n v="560.94200000000001"/>
    <s v="Parfaite"/>
    <s v="P-AU-D1"/>
    <s v="PALF"/>
    <x v="5"/>
    <s v="Congo"/>
    <x v="0"/>
    <x v="0"/>
    <m/>
  </r>
  <r>
    <x v="193"/>
    <s v="Taxi domicile-bouro,prospection"/>
    <s v="Transport"/>
    <s v="Investigation"/>
    <x v="24"/>
    <x v="608"/>
    <n v="560.94200000000001"/>
    <s v="P29"/>
    <s v="P29-AU-D1"/>
    <s v="PALF"/>
    <x v="5"/>
    <s v="Congo"/>
    <x v="0"/>
    <x v="0"/>
    <m/>
  </r>
  <r>
    <x v="193"/>
    <s v="Taxi bouro-sai sai,prospection"/>
    <s v="Transport"/>
    <s v="Investigation"/>
    <x v="24"/>
    <x v="608"/>
    <n v="560.94200000000001"/>
    <s v="P29"/>
    <s v="P29-AU-D1"/>
    <s v="PALF"/>
    <x v="5"/>
    <s v="Congo"/>
    <x v="0"/>
    <x v="0"/>
    <m/>
  </r>
  <r>
    <x v="193"/>
    <s v="Taxi sai sai -bureau"/>
    <s v="Transport"/>
    <s v="Investigation"/>
    <x v="120"/>
    <x v="614"/>
    <n v="560.94200000000001"/>
    <s v="P29"/>
    <s v="P29-AU-D1"/>
    <s v="PALF"/>
    <x v="5"/>
    <s v="Congo"/>
    <x v="0"/>
    <x v="0"/>
    <m/>
  </r>
  <r>
    <x v="193"/>
    <s v="Achat boisson à un cible"/>
    <s v="Trust Building"/>
    <s v="Investigation"/>
    <x v="24"/>
    <x v="608"/>
    <n v="560.94200000000001"/>
    <s v="P29"/>
    <s v="P29-AU-D2"/>
    <s v="PALF"/>
    <x v="5"/>
    <s v="Congo"/>
    <x v="0"/>
    <x v="0"/>
    <m/>
  </r>
  <r>
    <x v="193"/>
    <s v="Taxi : domicile - texaco ( prospection à brazzaville)"/>
    <s v="Transport"/>
    <s v="Investigation"/>
    <x v="120"/>
    <x v="614"/>
    <n v="560.94200000000001"/>
    <s v="T73"/>
    <s v="T73-AU-D1"/>
    <s v="PALF"/>
    <x v="5"/>
    <s v="Congo"/>
    <x v="0"/>
    <x v="0"/>
    <m/>
  </r>
  <r>
    <x v="193"/>
    <s v="Taxi : texaco - zone de la frontière ( prospection à brazzaville)"/>
    <s v="Transport"/>
    <s v="Investigation"/>
    <x v="24"/>
    <x v="608"/>
    <n v="560.94200000000001"/>
    <s v="T73"/>
    <s v="T73-AU-D1"/>
    <s v="PALF"/>
    <x v="5"/>
    <s v="Congo"/>
    <x v="0"/>
    <x v="0"/>
    <m/>
  </r>
  <r>
    <x v="193"/>
    <s v="Taxi : zone de la frontière - bureau ( recuperer fond pour achat billet)"/>
    <s v="Transport"/>
    <s v="Investigation"/>
    <x v="24"/>
    <x v="608"/>
    <n v="560.94200000000001"/>
    <s v="T73"/>
    <s v="T73-AU-D1"/>
    <s v="PALF"/>
    <x v="5"/>
    <s v="Congo"/>
    <x v="0"/>
    <x v="0"/>
    <m/>
  </r>
  <r>
    <x v="193"/>
    <s v="Taxi : bureau - agence océan talangai ( achat billet)"/>
    <s v="Transport"/>
    <s v="Investigation"/>
    <x v="70"/>
    <x v="615"/>
    <n v="560.94200000000001"/>
    <s v="T73"/>
    <s v="T73-AU-D1"/>
    <s v="PALF"/>
    <x v="5"/>
    <s v="Congo"/>
    <x v="0"/>
    <x v="0"/>
    <m/>
  </r>
  <r>
    <x v="193"/>
    <s v="Taxi : agence océan talangai - bureau ( recuperer fond pour achat billet)"/>
    <s v="Transport"/>
    <s v="Investigation"/>
    <x v="70"/>
    <x v="615"/>
    <n v="560.94200000000001"/>
    <s v="T73"/>
    <s v="T73-AU-D1"/>
    <s v="PALF"/>
    <x v="5"/>
    <s v="Congo"/>
    <x v="0"/>
    <x v="0"/>
    <m/>
  </r>
  <r>
    <x v="193"/>
    <s v="Taxi : Domicile - Mfilou/ Prospection"/>
    <s v="Transport"/>
    <s v="Investigation"/>
    <x v="70"/>
    <x v="615"/>
    <n v="560.94200000000001"/>
    <s v="IT87"/>
    <s v="IT87-AU-D1"/>
    <s v="PALF"/>
    <x v="5"/>
    <s v="Congo"/>
    <x v="0"/>
    <x v="0"/>
    <m/>
  </r>
  <r>
    <x v="193"/>
    <s v="Taxi : Gotié - Mairie/ Prospection"/>
    <s v="Transport"/>
    <s v="Investigation"/>
    <x v="24"/>
    <x v="608"/>
    <n v="560.94200000000001"/>
    <s v="IT87"/>
    <s v="IT87-AU-D1"/>
    <s v="PALF"/>
    <x v="5"/>
    <s v="Congo"/>
    <x v="0"/>
    <x v="0"/>
    <m/>
  </r>
  <r>
    <x v="193"/>
    <s v="Taxi : Mairie - Frontière/ Prospection"/>
    <s v="Transport"/>
    <s v="Investigation"/>
    <x v="24"/>
    <x v="608"/>
    <n v="560.94200000000001"/>
    <s v="IT87"/>
    <s v="IT87-AU-D1"/>
    <s v="PALF"/>
    <x v="5"/>
    <s v="Congo"/>
    <x v="0"/>
    <x v="0"/>
    <m/>
  </r>
  <r>
    <x v="193"/>
    <s v="Taxi : Frontière - Domicile/ Retour de prospection"/>
    <s v="Transport"/>
    <s v="Investigation"/>
    <x v="70"/>
    <x v="615"/>
    <n v="560.94200000000001"/>
    <s v="IT87"/>
    <s v="IT87-AU-D1"/>
    <s v="PALF"/>
    <x v="5"/>
    <s v="Congo"/>
    <x v="0"/>
    <x v="0"/>
    <m/>
  </r>
  <r>
    <x v="193"/>
    <s v="Taxi : Domicile - nganga lingolo, prospection à brazzaville"/>
    <s v="Transport"/>
    <s v="Investigation"/>
    <x v="120"/>
    <x v="614"/>
    <n v="560.94200000000001"/>
    <s v="G12"/>
    <s v="G12-AU-D1"/>
    <s v="PALF"/>
    <x v="5"/>
    <s v="Congo"/>
    <x v="0"/>
    <x v="0"/>
    <m/>
  </r>
  <r>
    <x v="193"/>
    <s v="Taxi : Nganga lingolo- total / prospection"/>
    <s v="Transport"/>
    <s v="Investigation"/>
    <x v="120"/>
    <x v="614"/>
    <n v="560.94200000000001"/>
    <s v="G12"/>
    <s v="G12-AU-D1"/>
    <s v="PALF"/>
    <x v="5"/>
    <s v="Congo"/>
    <x v="0"/>
    <x v="0"/>
    <m/>
  </r>
  <r>
    <x v="193"/>
    <s v="Taxi: Total- domicile"/>
    <s v="Transport"/>
    <s v="Investigation"/>
    <x v="24"/>
    <x v="608"/>
    <n v="560.94200000000001"/>
    <s v="G12"/>
    <s v="G12-AU-D1"/>
    <s v="PALF"/>
    <x v="5"/>
    <s v="Congo"/>
    <x v="0"/>
    <x v="0"/>
    <m/>
  </r>
  <r>
    <x v="193"/>
    <s v="Taxi, Domicile-Bureau PALF"/>
    <s v="Transport"/>
    <s v="Media"/>
    <x v="24"/>
    <x v="608"/>
    <n v="560.94200000000001"/>
    <s v="Evariste"/>
    <s v="EV-AU-D1"/>
    <s v="PALF"/>
    <x v="5"/>
    <s v="Congo"/>
    <x v="0"/>
    <x v="0"/>
    <m/>
  </r>
  <r>
    <x v="193"/>
    <s v="Taxi, Bureau PALF-Domicile"/>
    <s v="Transport"/>
    <s v="Media"/>
    <x v="24"/>
    <x v="608"/>
    <n v="560.94200000000001"/>
    <s v="Evariste"/>
    <s v="EV-AU-D1"/>
    <s v="PALF"/>
    <x v="5"/>
    <s v="Congo"/>
    <x v="0"/>
    <x v="0"/>
    <m/>
  </r>
  <r>
    <x v="193"/>
    <s v="RAPATRIEME01100 RAO00010886/Fondation de la Famille Dahan(DFF)"/>
    <s v="Grant"/>
    <m/>
    <x v="47"/>
    <x v="233"/>
    <n v="532.90200000000004"/>
    <s v="BCI"/>
    <s v="BQ-AU-G1"/>
    <s v="PALF"/>
    <x v="7"/>
    <s v="Congo"/>
    <x v="8"/>
    <x v="2"/>
    <m/>
  </r>
  <r>
    <x v="193"/>
    <s v="RAPATRIEME01100 RAO00010886/Fondation Wildcat"/>
    <s v="Grant"/>
    <m/>
    <x v="47"/>
    <x v="233"/>
    <n v="532.90192592592598"/>
    <s v="BCI"/>
    <s v="BQ-AU-G2"/>
    <s v="PALF"/>
    <x v="5"/>
    <s v="Congo"/>
    <x v="9"/>
    <x v="5"/>
    <m/>
  </r>
  <r>
    <x v="194"/>
    <s v="Bureau-Maison"/>
    <s v="Transport"/>
    <s v="Management"/>
    <x v="24"/>
    <x v="608"/>
    <n v="560.94200000000001"/>
    <s v="DOVI"/>
    <s v="DH-AU-D1"/>
    <s v="PALF"/>
    <x v="5"/>
    <s v="Congo"/>
    <x v="0"/>
    <x v="0"/>
    <m/>
  </r>
  <r>
    <x v="194"/>
    <s v="Billet: Brazzaville-Impfondo"/>
    <s v="Transport"/>
    <s v="Legal"/>
    <x v="303"/>
    <x v="617"/>
    <n v="560.94200000000001"/>
    <s v="Crépin"/>
    <s v="CR-AU-R1"/>
    <s v="PALF"/>
    <x v="5"/>
    <s v="Congo"/>
    <x v="0"/>
    <x v="0"/>
    <m/>
  </r>
  <r>
    <x v="194"/>
    <s v="Taxi: Mfilou Camp Militaire-Agence Océan du Nord Talangai"/>
    <s v="Transport"/>
    <s v="Legal"/>
    <x v="70"/>
    <x v="615"/>
    <n v="560.94200000000001"/>
    <s v="Crépin"/>
    <s v="CR-AU-D1"/>
    <s v="PALF"/>
    <x v="5"/>
    <s v="Congo"/>
    <x v="0"/>
    <x v="0"/>
    <m/>
  </r>
  <r>
    <x v="194"/>
    <s v="Taxi moto: Agence Océan du Nord Oyo-Hôtel Saint Bénoit"/>
    <s v="Transport"/>
    <s v="Legal"/>
    <x v="294"/>
    <x v="618"/>
    <n v="560.94200000000001"/>
    <s v="Crépin"/>
    <s v="CR-AU-D1"/>
    <s v="PALF"/>
    <x v="5"/>
    <s v="Congo"/>
    <x v="0"/>
    <x v="0"/>
    <m/>
  </r>
  <r>
    <x v="194"/>
    <s v="CREPIN-CONGO Ration du 14/08 au 02/09/2025 à  Impfondo"/>
    <s v="Travel Subsistence"/>
    <s v="Legal"/>
    <x v="97"/>
    <x v="619"/>
    <n v="560.94200000000001"/>
    <s v="Crépin"/>
    <s v="CR-AU-D2"/>
    <s v="PALF"/>
    <x v="5"/>
    <s v="Congo"/>
    <x v="0"/>
    <x v="0"/>
    <m/>
  </r>
  <r>
    <x v="194"/>
    <s v="Taxi:  Bureau-Banque BCI/ Appro caisse PALF"/>
    <s v="Transport"/>
    <s v="Office"/>
    <x v="24"/>
    <x v="608"/>
    <n v="560.94200000000001"/>
    <s v="Parfaite"/>
    <s v="P-AU-D1"/>
    <s v="PALF"/>
    <x v="5"/>
    <s v="Congo"/>
    <x v="0"/>
    <x v="0"/>
    <m/>
  </r>
  <r>
    <x v="194"/>
    <s v="Taxi:  Banque BCI - Bureau/Appro caisse  PALF"/>
    <s v="Transport"/>
    <s v="Office"/>
    <x v="24"/>
    <x v="608"/>
    <n v="560.94200000000001"/>
    <s v="Parfaite"/>
    <s v="P-AU-D1"/>
    <s v="PALF"/>
    <x v="5"/>
    <s v="Congo"/>
    <x v="0"/>
    <x v="0"/>
    <m/>
  </r>
  <r>
    <x v="194"/>
    <s v="Taxi: Bureau -Marché Moungali/ Achat des Ampoules bureau PALF"/>
    <s v="Transport"/>
    <s v="Office"/>
    <x v="24"/>
    <x v="608"/>
    <n v="560.94200000000001"/>
    <s v="Parfaite"/>
    <s v="P-AU-D1"/>
    <s v="PALF"/>
    <x v="5"/>
    <s v="Congo"/>
    <x v="0"/>
    <x v="0"/>
    <m/>
  </r>
  <r>
    <x v="194"/>
    <s v="Taxi: Marché Moungali - Bureau/ Achat de Ampoules bureau PALF"/>
    <s v="Transport"/>
    <s v="Office"/>
    <x v="24"/>
    <x v="608"/>
    <n v="560.94200000000001"/>
    <s v="Parfaite"/>
    <s v="P-AU-D1"/>
    <s v="PALF"/>
    <x v="5"/>
    <s v="Congo"/>
    <x v="0"/>
    <x v="0"/>
    <m/>
  </r>
  <r>
    <x v="194"/>
    <s v="Achat de 10 ampoule à crochet"/>
    <s v="Office Materiels"/>
    <s v="Office"/>
    <x v="7"/>
    <x v="620"/>
    <n v="560.94200000000001"/>
    <s v="Parfaite"/>
    <s v="CA-AU-R1"/>
    <s v="PALF"/>
    <x v="5"/>
    <s v="Congo"/>
    <x v="0"/>
    <x v="0"/>
    <m/>
  </r>
  <r>
    <x v="194"/>
    <s v="Achat billet Brazzaville-Impfondo/ P29"/>
    <s v="Transport"/>
    <s v="Investigation"/>
    <x v="303"/>
    <x v="617"/>
    <n v="560.94200000000001"/>
    <s v="P29"/>
    <s v="P29-AU-R2"/>
    <s v="PALF"/>
    <x v="5"/>
    <s v="Congo"/>
    <x v="0"/>
    <x v="0"/>
    <m/>
  </r>
  <r>
    <x v="194"/>
    <s v="Taxi domicile-agence,départ mission"/>
    <s v="Transport"/>
    <s v="Investigation"/>
    <x v="75"/>
    <x v="616"/>
    <n v="560.94200000000001"/>
    <s v="P29"/>
    <s v="P29-AU-D1"/>
    <s v="PALF"/>
    <x v="5"/>
    <s v="Congo"/>
    <x v="0"/>
    <x v="0"/>
    <m/>
  </r>
  <r>
    <x v="194"/>
    <s v="P29 - CONGO Ration  du 14/08 au 01 /09/2025 à Impfondo (18 Nuitées)"/>
    <s v="Travel Subsistence"/>
    <s v="Investigation"/>
    <x v="113"/>
    <x v="621"/>
    <n v="560.94200000000001"/>
    <s v="P29"/>
    <s v="P29-AU-D3"/>
    <s v="PALF"/>
    <x v="5"/>
    <s v="Congo"/>
    <x v="0"/>
    <x v="0"/>
    <m/>
  </r>
  <r>
    <x v="194"/>
    <s v="Taxi agence-hotel,arrivé à oyo"/>
    <s v="Transport"/>
    <s v="Investigation"/>
    <x v="24"/>
    <x v="608"/>
    <n v="560.94200000000001"/>
    <s v="P29"/>
    <s v="P29-AU-D1"/>
    <s v="PALF"/>
    <x v="5"/>
    <s v="Congo"/>
    <x v="0"/>
    <x v="0"/>
    <m/>
  </r>
  <r>
    <x v="194"/>
    <s v="Achat billet  Brazzaville - Impfondo/T73"/>
    <s v="Transport"/>
    <s v="Investigation"/>
    <x v="303"/>
    <x v="617"/>
    <n v="560.94200000000001"/>
    <s v="T73"/>
    <s v="T73-AU-R2"/>
    <s v="PALF"/>
    <x v="5"/>
    <s v="Congo"/>
    <x v="0"/>
    <x v="0"/>
    <m/>
  </r>
  <r>
    <x v="194"/>
    <s v="T73-CONGO Ration du 14 au 01/09/2025 à Impfondo (18 nuitées)"/>
    <s v="Travel Subsistence"/>
    <s v="Investigation"/>
    <x v="113"/>
    <x v="621"/>
    <n v="560.94200000000001"/>
    <s v="T73"/>
    <s v="T73-AU-D3"/>
    <s v="PALF"/>
    <x v="5"/>
    <s v="Congo"/>
    <x v="0"/>
    <x v="0"/>
    <m/>
  </r>
  <r>
    <x v="194"/>
    <s v="Taxi : domicille - agence océan talangai"/>
    <s v="Transport"/>
    <s v="Investigation"/>
    <x v="70"/>
    <x v="615"/>
    <n v="560.94200000000001"/>
    <s v="T73"/>
    <s v="T73-AU-D1"/>
    <s v="PALF"/>
    <x v="5"/>
    <s v="Congo"/>
    <x v="0"/>
    <x v="0"/>
    <m/>
  </r>
  <r>
    <x v="194"/>
    <s v="Taxi : Agence céan- hotel"/>
    <s v="Transport"/>
    <s v="Investigation"/>
    <x v="294"/>
    <x v="618"/>
    <n v="560.94200000000001"/>
    <s v="T73"/>
    <s v="T73-AU-D1"/>
    <s v="PALF"/>
    <x v="5"/>
    <s v="Congo"/>
    <x v="0"/>
    <x v="0"/>
    <m/>
  </r>
  <r>
    <x v="194"/>
    <s v="Achat billet Brazzaville-Imfondo/ Donald-Roméo"/>
    <s v="Transport "/>
    <s v="Legal"/>
    <x v="303"/>
    <x v="617"/>
    <n v="560.94200000000001"/>
    <s v="Donald-Romeo"/>
    <s v="DR-AU-R1"/>
    <s v="PALF"/>
    <x v="5"/>
    <s v="Congo"/>
    <x v="0"/>
    <x v="0"/>
    <m/>
  </r>
  <r>
    <x v="194"/>
    <s v="Taxi Domicile-Agence Océan du Nord de Talangaï"/>
    <s v="Transport "/>
    <s v="Legal"/>
    <x v="75"/>
    <x v="616"/>
    <n v="560.94200000000001"/>
    <s v="Donald-Romeo"/>
    <s v="DR-AU-D1"/>
    <s v="PALF"/>
    <x v="5"/>
    <s v="Congo"/>
    <x v="0"/>
    <x v="0"/>
    <m/>
  </r>
  <r>
    <x v="194"/>
    <s v="Taxi agence Océan du Nord d'Oyo-Hôtel Saint Benoit"/>
    <s v="Transport "/>
    <s v="Legal"/>
    <x v="294"/>
    <x v="618"/>
    <n v="560.94200000000001"/>
    <s v="Donald-Romeo"/>
    <s v="DR-AU-D1"/>
    <s v="PALF"/>
    <x v="5"/>
    <s v="Congo"/>
    <x v="0"/>
    <x v="0"/>
    <m/>
  </r>
  <r>
    <x v="194"/>
    <s v="Ration  du  14/08 au 02/09/2025 à Oyo, Impfondo et  Enyellé/ Donald-Roméo"/>
    <s v="Travel Subsistence"/>
    <s v="Legal"/>
    <x v="97"/>
    <x v="619"/>
    <n v="560.94200000000001"/>
    <s v="Donald-Romeo"/>
    <s v="DR-AU-D2"/>
    <s v="PALF"/>
    <x v="5"/>
    <s v="Congo"/>
    <x v="0"/>
    <x v="0"/>
    <m/>
  </r>
  <r>
    <x v="194"/>
    <s v="Achat Billet Brazzaville-Impfondo/Evariste"/>
    <s v="Transport"/>
    <s v="Media"/>
    <x v="303"/>
    <x v="617"/>
    <n v="560.94200000000001"/>
    <s v="Evariste"/>
    <s v="EV-AU-R1"/>
    <s v="PALF"/>
    <x v="5"/>
    <s v="Congo"/>
    <x v="0"/>
    <x v="0"/>
    <m/>
  </r>
  <r>
    <x v="194"/>
    <s v="Taxi, Domicile-Agence Océan du Nord de Talangai"/>
    <s v="Transport"/>
    <s v="Media"/>
    <x v="24"/>
    <x v="608"/>
    <n v="560.94200000000001"/>
    <s v="Evariste"/>
    <s v="EV-AU-D1"/>
    <s v="PALF"/>
    <x v="5"/>
    <s v="Congo"/>
    <x v="0"/>
    <x v="0"/>
    <m/>
  </r>
  <r>
    <x v="194"/>
    <s v="Taxi moto, Agence Océan du Nord d'Oyo-Hôtel Saint Benoit"/>
    <s v="Transport"/>
    <s v="Media"/>
    <x v="294"/>
    <x v="618"/>
    <n v="560.94200000000001"/>
    <s v="Evariste"/>
    <s v="EV-AU-D1"/>
    <s v="PALF"/>
    <x v="5"/>
    <s v="Congo"/>
    <x v="0"/>
    <x v="0"/>
    <m/>
  </r>
  <r>
    <x v="194"/>
    <s v="Evariste-CONGO Ration du 14 août au 03 septembre 2025 à Impfondo ( 20 nuitées )"/>
    <s v="Travel Subsistence"/>
    <s v="Media"/>
    <x v="58"/>
    <x v="622"/>
    <n v="560.94200000000001"/>
    <s v="Evariste"/>
    <s v="EV-AU-D2"/>
    <s v="PALF"/>
    <x v="5"/>
    <s v="Congo"/>
    <x v="0"/>
    <x v="0"/>
    <m/>
  </r>
  <r>
    <x v="194"/>
    <s v="Taxi: Bureau-Imprimérie DL/ pour retirer les cartes de visite du Coordo"/>
    <s v="Transport"/>
    <s v="Legal"/>
    <x v="120"/>
    <x v="614"/>
    <n v="560.94200000000001"/>
    <s v="Romain"/>
    <s v="RM-AU-D1"/>
    <s v="PALF"/>
    <x v="5"/>
    <s v="Congo"/>
    <x v="0"/>
    <x v="0"/>
    <m/>
  </r>
  <r>
    <x v="194"/>
    <s v="Taxi: Imprimérie DL -Bureau"/>
    <s v="Transport"/>
    <s v="Legal"/>
    <x v="120"/>
    <x v="614"/>
    <n v="560.94200000000001"/>
    <s v="Romain"/>
    <s v="RM-AU-D1"/>
    <s v="PALF"/>
    <x v="5"/>
    <s v="Congo"/>
    <x v="0"/>
    <x v="0"/>
    <m/>
  </r>
  <r>
    <x v="194"/>
    <s v="Paiement salaire du mois de Juillet 2025/Homéfa DOVI/3654413"/>
    <s v="Personnel"/>
    <s v="Management"/>
    <x v="57"/>
    <x v="623"/>
    <n v="560.94200000000001"/>
    <s v="BCI"/>
    <s v="BQ-AU-R5"/>
    <s v="PALF"/>
    <x v="5"/>
    <s v="Congo"/>
    <x v="0"/>
    <x v="0"/>
    <m/>
  </r>
  <r>
    <x v="194"/>
    <s v="Solde honoraire contrat N°63_Brazzaville cas IBAMBOU ATEMBO Delmand Ferréol/Maitre Marie Hélène NANITELAMIO MALONGA/ 3654416"/>
    <s v="Lawyer Fees"/>
    <s v="Legal"/>
    <x v="8"/>
    <x v="624"/>
    <n v="560.94200000000001"/>
    <s v="BCI"/>
    <s v="BQ-AU-R6"/>
    <s v="PALF"/>
    <x v="5"/>
    <s v="Congo"/>
    <x v="0"/>
    <x v="0"/>
    <m/>
  </r>
  <r>
    <x v="195"/>
    <s v="CREPIN-CONGO-Frais d'hôtel du 14 au 15/08/2025 à Oyo (01 Nuitée)"/>
    <s v="Travel Subsistence"/>
    <s v="Legal"/>
    <x v="64"/>
    <x v="625"/>
    <n v="560.94200000000001"/>
    <s v="Crépin"/>
    <s v="CR-AU-R1-2"/>
    <s v="PALF"/>
    <x v="5"/>
    <s v="Congo"/>
    <x v="0"/>
    <x v="0"/>
    <m/>
  </r>
  <r>
    <x v="195"/>
    <s v="Taxi moto: Hôtel Saint Bénoit-Agence Océan"/>
    <s v="Transport"/>
    <s v="Legal"/>
    <x v="294"/>
    <x v="618"/>
    <n v="560.94200000000001"/>
    <s v="Crépin"/>
    <s v="CR-AU-D1"/>
    <s v="PALF"/>
    <x v="5"/>
    <s v="Congo"/>
    <x v="0"/>
    <x v="0"/>
    <m/>
  </r>
  <r>
    <x v="195"/>
    <s v="Taxi moto: Agence Océan Enyéllé-Hôtel La Paulina"/>
    <s v="Transport"/>
    <s v="Legal"/>
    <x v="294"/>
    <x v="618"/>
    <n v="560.94200000000001"/>
    <s v="Crépin"/>
    <s v="CR-AU-D1"/>
    <s v="PALF"/>
    <x v="5"/>
    <s v="Congo"/>
    <x v="0"/>
    <x v="0"/>
    <m/>
  </r>
  <r>
    <x v="195"/>
    <s v="Credit telephonique MTN PALF/du 14 au 17 Août 2025"/>
    <s v="Telephone"/>
    <s v="Legal"/>
    <x v="31"/>
    <x v="612"/>
    <n v="560.94200000000001"/>
    <s v="Crépin"/>
    <s v="CR-AU-R1-3"/>
    <s v="PALF"/>
    <x v="5"/>
    <s v="Congo"/>
    <x v="0"/>
    <x v="0"/>
    <m/>
  </r>
  <r>
    <x v="195"/>
    <s v="Taxi:  Domicile- Direction MTN/Achat crédits  pour les agents en mission d'Impfondo"/>
    <s v="Transport"/>
    <s v="Office"/>
    <x v="120"/>
    <x v="614"/>
    <n v="560.94200000000001"/>
    <s v="Parfaite"/>
    <s v="P-AU-D1"/>
    <s v="PALF"/>
    <x v="5"/>
    <s v="Congo"/>
    <x v="0"/>
    <x v="0"/>
    <m/>
  </r>
  <r>
    <x v="195"/>
    <s v="Taxi:   Direction MTN- Domicile/Achat crédits Achat crédits pour les agents en mission d'Impfondo"/>
    <s v="Transport"/>
    <s v="Office"/>
    <x v="120"/>
    <x v="614"/>
    <n v="560.94200000000001"/>
    <s v="Parfaite"/>
    <s v="P-AU-D1"/>
    <s v="PALF"/>
    <x v="5"/>
    <s v="Congo"/>
    <x v="0"/>
    <x v="0"/>
    <m/>
  </r>
  <r>
    <x v="195"/>
    <s v="Taxi hotel-agence,la suite du voyage pour impfondo"/>
    <s v="Transport"/>
    <s v="Investigation"/>
    <x v="24"/>
    <x v="608"/>
    <n v="560.94200000000001"/>
    <s v="P29"/>
    <s v="P29-AU-D1"/>
    <s v="PALF"/>
    <x v="5"/>
    <s v="Congo"/>
    <x v="0"/>
    <x v="0"/>
    <m/>
  </r>
  <r>
    <x v="195"/>
    <s v="P29 -CONGO Frais d'hotel du 14 au 15/08/2025 à  oyo (01 Nuitée)"/>
    <s v="Travel Subsistence"/>
    <s v="Investigation"/>
    <x v="64"/>
    <x v="625"/>
    <n v="560.94200000000001"/>
    <s v="P29"/>
    <s v="P29-AU-R3"/>
    <s v="PALF"/>
    <x v="5"/>
    <s v="Congo"/>
    <x v="0"/>
    <x v="0"/>
    <m/>
  </r>
  <r>
    <x v="195"/>
    <s v="Taxi tricycle agence océan -hotel,arrivé à enyelle"/>
    <s v="Transport"/>
    <s v="Investigation"/>
    <x v="24"/>
    <x v="608"/>
    <n v="560.94200000000001"/>
    <s v="P29"/>
    <s v="P29-AU-D1"/>
    <s v="PALF"/>
    <x v="5"/>
    <s v="Congo"/>
    <x v="0"/>
    <x v="0"/>
    <m/>
  </r>
  <r>
    <x v="195"/>
    <s v="Credit telephonique MTN PALF/ du 07 au 10 Août 2025/ Investigation/P29"/>
    <s v="Telephone"/>
    <s v="Investigation"/>
    <x v="31"/>
    <x v="612"/>
    <n v="560.94200000000001"/>
    <s v="P29"/>
    <s v="P29-AU-R4"/>
    <s v="PALF"/>
    <x v="5"/>
    <s v="Congo"/>
    <x v="0"/>
    <x v="0"/>
    <m/>
  </r>
  <r>
    <x v="195"/>
    <s v="T73 - CONGO Frais d'hotel du 14 au 15/08/2025  à Oyo ( 01nuitée)"/>
    <s v="Travel Subsistence"/>
    <s v="Investigation"/>
    <x v="64"/>
    <x v="625"/>
    <n v="560.94200000000001"/>
    <s v="T73"/>
    <s v="T73-AU-R3"/>
    <s v="PALF"/>
    <x v="5"/>
    <s v="Congo"/>
    <x v="0"/>
    <x v="0"/>
    <m/>
  </r>
  <r>
    <x v="195"/>
    <s v="Taxi : hotel - agence océan du nord"/>
    <s v="Transport"/>
    <s v="Investigation"/>
    <x v="294"/>
    <x v="618"/>
    <n v="560.94200000000001"/>
    <s v="T73"/>
    <s v="T73-AU-D1"/>
    <s v="PALF"/>
    <x v="5"/>
    <s v="Congo"/>
    <x v="0"/>
    <x v="0"/>
    <m/>
  </r>
  <r>
    <x v="195"/>
    <s v="Taxi moto : agence océan - hotel"/>
    <s v="Transport"/>
    <s v="Investigation"/>
    <x v="294"/>
    <x v="618"/>
    <n v="560.94200000000001"/>
    <s v="T73"/>
    <s v="T73-AU-D1"/>
    <s v="PALF"/>
    <x v="5"/>
    <s v="Congo"/>
    <x v="0"/>
    <x v="0"/>
    <m/>
  </r>
  <r>
    <x v="195"/>
    <s v="Credit telephonique MTN PALF/ du 14 au 17 Août 2025/ Investigation/T73"/>
    <s v="Telephone"/>
    <s v="Investigation"/>
    <x v="31"/>
    <x v="612"/>
    <n v="560.94200000000001"/>
    <s v="T73"/>
    <s v="T73-AU-R4"/>
    <s v="PALF"/>
    <x v="5"/>
    <s v="Congo"/>
    <x v="0"/>
    <x v="0"/>
    <m/>
  </r>
  <r>
    <x v="195"/>
    <s v="Donald Roméo- CONGO Frais d'hôtel du 14 au 15/08/2025 à Oyo (01 Nuitée)"/>
    <s v="Travel Subsistence"/>
    <s v="Legal"/>
    <x v="64"/>
    <x v="625"/>
    <n v="560.94200000000001"/>
    <s v="Donald-Romeo"/>
    <s v="DR-AU-R2"/>
    <s v="PALF"/>
    <x v="5"/>
    <s v="Congo"/>
    <x v="0"/>
    <x v="0"/>
    <m/>
  </r>
  <r>
    <x v="195"/>
    <s v="Taxi Hôtel Saint Benoit-agence Océan du Nord d'Oyo"/>
    <s v="Transport "/>
    <s v="Legal"/>
    <x v="294"/>
    <x v="618"/>
    <n v="560.94200000000001"/>
    <s v="Donald-Romeo"/>
    <s v="DR-AU-D1"/>
    <s v="PALF"/>
    <x v="5"/>
    <s v="Congo"/>
    <x v="0"/>
    <x v="0"/>
    <m/>
  </r>
  <r>
    <x v="195"/>
    <s v="Taxi Hôtel agence Océan du Nord d'Enyelé-Hôtel Paulina"/>
    <s v="Transport "/>
    <s v="Legal"/>
    <x v="294"/>
    <x v="618"/>
    <n v="560.94200000000001"/>
    <s v="Donald-Romeo"/>
    <s v="DR-AU-D1"/>
    <s v="PALF"/>
    <x v="5"/>
    <s v="Congo"/>
    <x v="0"/>
    <x v="0"/>
    <m/>
  </r>
  <r>
    <x v="195"/>
    <s v="Credit telephonique MTN PALF/du 14 au 17 Août 2025"/>
    <s v="Telephone"/>
    <s v="Legal"/>
    <x v="31"/>
    <x v="612"/>
    <n v="560.94200000000001"/>
    <s v="Donald-Romeo"/>
    <s v="DR-AU-R3"/>
    <s v="PALF"/>
    <x v="5"/>
    <s v="Congo"/>
    <x v="0"/>
    <x v="0"/>
    <m/>
  </r>
  <r>
    <x v="195"/>
    <s v="Evariste-CONGO Frais de l'hôtel du 14 au 15/08/2025 à Oyo ( 01 nuitée)"/>
    <s v="Travel Subsistence"/>
    <s v="Media"/>
    <x v="64"/>
    <x v="625"/>
    <n v="560.94200000000001"/>
    <s v="Evariste"/>
    <s v="EV-AU-R2"/>
    <s v="PALF"/>
    <x v="5"/>
    <s v="Congo"/>
    <x v="0"/>
    <x v="0"/>
    <m/>
  </r>
  <r>
    <x v="195"/>
    <s v="Taxi moto, Hôtel Saint Benoit-Agence Océan du Nord d'Oyo"/>
    <s v="Transport"/>
    <s v="Media"/>
    <x v="294"/>
    <x v="618"/>
    <n v="560.94200000000001"/>
    <s v="Evariste"/>
    <s v="EV-AU-D1"/>
    <s v="PALF"/>
    <x v="5"/>
    <s v="Congo"/>
    <x v="0"/>
    <x v="0"/>
    <m/>
  </r>
  <r>
    <x v="195"/>
    <s v="Credit telephonique MTN PALF/du 14 au 17 Août 2025"/>
    <s v="Telephone"/>
    <s v="Media"/>
    <x v="31"/>
    <x v="612"/>
    <n v="560.94200000000001"/>
    <s v="Evariste"/>
    <s v="EV-AU-R3"/>
    <s v="PALF"/>
    <x v="5"/>
    <s v="Congo"/>
    <x v="0"/>
    <x v="0"/>
    <m/>
  </r>
  <r>
    <x v="196"/>
    <s v="CREPIN-CONGO-Frais d'hôtel  du 15 au 16/08/2025 à Enyellé (01 Nuitée)"/>
    <s v="Travel Subsistence"/>
    <s v="Legal"/>
    <x v="64"/>
    <x v="625"/>
    <n v="560.94200000000001"/>
    <s v="Crépin"/>
    <s v="CR-AU-R1-4"/>
    <s v="PALF"/>
    <x v="5"/>
    <s v="Congo"/>
    <x v="0"/>
    <x v="0"/>
    <m/>
  </r>
  <r>
    <x v="196"/>
    <s v="Taxi moto: Hôtel Polina-Agence Océan du nord"/>
    <s v="Transport"/>
    <s v="Legal"/>
    <x v="294"/>
    <x v="618"/>
    <n v="560.94200000000001"/>
    <s v="Crépin"/>
    <s v="CR-AU-D1"/>
    <s v="PALF"/>
    <x v="5"/>
    <s v="Congo"/>
    <x v="0"/>
    <x v="0"/>
    <m/>
  </r>
  <r>
    <x v="196"/>
    <s v="Taxi moto: Agence Océan d'Impfondo-Hôtel Mithé"/>
    <s v="Transport"/>
    <s v="Legal"/>
    <x v="294"/>
    <x v="618"/>
    <n v="560.94200000000001"/>
    <s v="Crépin"/>
    <s v="CR-AU-D1"/>
    <s v="PALF"/>
    <x v="5"/>
    <s v="Congo"/>
    <x v="0"/>
    <x v="0"/>
    <m/>
  </r>
  <r>
    <x v="196"/>
    <s v="Taxi tricycle hotel-agence-suite du voyage pour impfondo"/>
    <s v="Transport"/>
    <s v="Investigation"/>
    <x v="24"/>
    <x v="608"/>
    <n v="560.94200000000001"/>
    <s v="P29"/>
    <s v="P29-AU-D1"/>
    <s v="PALF"/>
    <x v="5"/>
    <s v="Congo"/>
    <x v="0"/>
    <x v="0"/>
    <m/>
  </r>
  <r>
    <x v="196"/>
    <s v="P29 -CONGO Frais d'hotel du 15 au 16/08/2025 à  enyelle (01 Nuitée)"/>
    <s v="Travel Subsistence"/>
    <s v="Investigation"/>
    <x v="64"/>
    <x v="625"/>
    <n v="560.94200000000001"/>
    <s v="P29"/>
    <s v="P29-AU-R5"/>
    <s v="PALF"/>
    <x v="5"/>
    <s v="Congo"/>
    <x v="0"/>
    <x v="0"/>
    <m/>
  </r>
  <r>
    <x v="196"/>
    <s v="Taxi tricycle agence océan -hotel,arrivé à impfondo"/>
    <s v="Transport"/>
    <s v="Investigation"/>
    <x v="24"/>
    <x v="608"/>
    <n v="560.94200000000001"/>
    <s v="P29"/>
    <s v="P29-AU-D1"/>
    <s v="PALF"/>
    <x v="5"/>
    <s v="Congo"/>
    <x v="0"/>
    <x v="0"/>
    <m/>
  </r>
  <r>
    <x v="196"/>
    <s v="T73 - CONGO Frais d'hotel du 15 au 16/08/2025  à Enyelle( 01nuitée)"/>
    <s v="Travel Subsistence"/>
    <s v="Investigation"/>
    <x v="64"/>
    <x v="625"/>
    <n v="560.94200000000001"/>
    <s v="T73"/>
    <s v="T73-AU-R5"/>
    <s v="PALF"/>
    <x v="5"/>
    <s v="Congo"/>
    <x v="0"/>
    <x v="0"/>
    <m/>
  </r>
  <r>
    <x v="196"/>
    <s v="Taxi moto : hotel - agence océan du nord"/>
    <s v="Transport"/>
    <s v="Investigation"/>
    <x v="294"/>
    <x v="618"/>
    <n v="560.94200000000001"/>
    <s v="T73"/>
    <s v="T73-AU-D1"/>
    <s v="PALF"/>
    <x v="5"/>
    <s v="Congo"/>
    <x v="0"/>
    <x v="0"/>
    <m/>
  </r>
  <r>
    <x v="196"/>
    <s v="Taxi moto : agence océan - hotel KB fils"/>
    <s v="Transport"/>
    <s v="Investigation"/>
    <x v="294"/>
    <x v="618"/>
    <n v="560.94200000000001"/>
    <s v="T73"/>
    <s v="T73-AU-D1"/>
    <s v="PALF"/>
    <x v="5"/>
    <s v="Congo"/>
    <x v="0"/>
    <x v="0"/>
    <m/>
  </r>
  <r>
    <x v="196"/>
    <s v="Donald Roméo -CONGO Frais d'hôtel/ du 15 au 16/08/2025 à Enyelé (01 Nuitée)"/>
    <s v="Travel Subsistence"/>
    <s v="Legal"/>
    <x v="64"/>
    <x v="625"/>
    <n v="560.94200000000001"/>
    <s v="Donald-Romeo"/>
    <s v="DR-AU-R4"/>
    <s v="PALF"/>
    <x v="5"/>
    <s v="Congo"/>
    <x v="0"/>
    <x v="0"/>
    <m/>
  </r>
  <r>
    <x v="196"/>
    <s v="Taxi Hôtel Paulina-agence Océan du Nord d'Enylé"/>
    <s v="Transport "/>
    <s v="Legal"/>
    <x v="294"/>
    <x v="618"/>
    <n v="560.94200000000001"/>
    <s v="Donald-Romeo"/>
    <s v="DR-AU-D1"/>
    <s v="PALF"/>
    <x v="5"/>
    <s v="Congo"/>
    <x v="0"/>
    <x v="0"/>
    <m/>
  </r>
  <r>
    <x v="196"/>
    <s v="Taxi agence Océan du Nord d'Impfondo-Hôtel Mithé"/>
    <s v="Transport "/>
    <s v="Legal"/>
    <x v="294"/>
    <x v="618"/>
    <n v="560.94200000000001"/>
    <s v="Donald-Romeo"/>
    <s v="DR-AU-D1"/>
    <s v="PALF"/>
    <x v="5"/>
    <s v="Congo"/>
    <x v="0"/>
    <x v="0"/>
    <m/>
  </r>
  <r>
    <x v="196"/>
    <s v="Evariste-CONGO Frais de l'hôtel du 15 au 16/08/2025 à Enyelé ( 01 nuitée) "/>
    <s v="Travel Subsistence"/>
    <s v="Media"/>
    <x v="64"/>
    <x v="625"/>
    <n v="560.94200000000001"/>
    <s v="Evariste"/>
    <s v="EV-AU-R4"/>
    <s v="PALF"/>
    <x v="5"/>
    <s v="Congo"/>
    <x v="0"/>
    <x v="0"/>
    <m/>
  </r>
  <r>
    <x v="196"/>
    <s v="Taxi moto, Agence Océan du Nord d'Impfondo-Hôtel Mité 2"/>
    <s v="Transport"/>
    <s v="Media"/>
    <x v="294"/>
    <x v="618"/>
    <n v="560.94200000000001"/>
    <s v="Evariste"/>
    <s v="EV-AU-D1"/>
    <s v="PALF"/>
    <x v="5"/>
    <s v="Congo"/>
    <x v="0"/>
    <x v="0"/>
    <m/>
  </r>
  <r>
    <x v="197"/>
    <s v="Maison-Bureau"/>
    <s v="Transport"/>
    <s v="Management"/>
    <x v="24"/>
    <x v="608"/>
    <n v="560.94200000000001"/>
    <s v="DOVI"/>
    <s v="DH-AU-D1"/>
    <s v="PALF"/>
    <x v="5"/>
    <s v="Congo"/>
    <x v="0"/>
    <x v="0"/>
    <m/>
  </r>
  <r>
    <x v="197"/>
    <s v="Bureau-Cabinet d'huissier"/>
    <s v="Transport"/>
    <s v="Management"/>
    <x v="24"/>
    <x v="608"/>
    <n v="560.94200000000001"/>
    <s v="DOVI"/>
    <s v="DH-AU-D1"/>
    <s v="PALF"/>
    <x v="5"/>
    <s v="Congo"/>
    <x v="0"/>
    <x v="0"/>
    <m/>
  </r>
  <r>
    <x v="197"/>
    <s v="Cabinet d'huissier - Bureau"/>
    <s v="Transport"/>
    <s v="Management"/>
    <x v="24"/>
    <x v="608"/>
    <n v="560.94200000000001"/>
    <s v="DOVI"/>
    <s v="DH-AU-D1"/>
    <s v="PALF"/>
    <x v="5"/>
    <s v="Congo"/>
    <x v="0"/>
    <x v="0"/>
    <m/>
  </r>
  <r>
    <x v="197"/>
    <s v="Bureau-Maison"/>
    <s v="Transport"/>
    <s v="Management"/>
    <x v="24"/>
    <x v="608"/>
    <n v="560.94200000000001"/>
    <s v="DOVI"/>
    <s v="DH-AU-D1"/>
    <s v="PALF"/>
    <x v="5"/>
    <s v="Congo"/>
    <x v="0"/>
    <x v="0"/>
    <m/>
  </r>
  <r>
    <x v="197"/>
    <s v="Credit telephonique MTN/PALF/ du 18 au 31 Aout 2025/DOVI"/>
    <s v="Telephone"/>
    <s v="Management"/>
    <x v="64"/>
    <x v="625"/>
    <n v="560.94200000000001"/>
    <s v="DOVI"/>
    <s v="DH-AU-R2"/>
    <s v="PALF"/>
    <x v="5"/>
    <s v="Congo"/>
    <x v="0"/>
    <x v="0"/>
    <m/>
  </r>
  <r>
    <x v="197"/>
    <s v="Reglement assurance retraite Coordinateur periode Janvier-Février- Mars- Avril-Mai - Juin 2025"/>
    <s v="Personnel"/>
    <s v="Management"/>
    <x v="8"/>
    <x v="624"/>
    <n v="560.94200000000001"/>
    <s v="DOVI"/>
    <s v="CA-AU-R3"/>
    <s v="PALF"/>
    <x v="5"/>
    <s v="Congo"/>
    <x v="0"/>
    <x v="0"/>
    <m/>
  </r>
  <r>
    <x v="197"/>
    <s v="Credit telephonique MTN PALF/ du 18 au 31 Août 2025"/>
    <s v="Telephone"/>
    <s v="Legal"/>
    <x v="31"/>
    <x v="612"/>
    <n v="560.94200000000001"/>
    <s v="Crépin"/>
    <s v="CR-AU-R1-5"/>
    <s v="PALF"/>
    <x v="5"/>
    <s v="Congo"/>
    <x v="0"/>
    <x v="0"/>
    <m/>
  </r>
  <r>
    <x v="197"/>
    <s v="Credit telephonique Airtel PALF/ du 18 au 31 Août 2025"/>
    <s v="Telephone"/>
    <s v="Legal"/>
    <x v="31"/>
    <x v="612"/>
    <n v="560.94200000000001"/>
    <s v="Crépin"/>
    <s v="CR-AU-R1-6"/>
    <s v="PALF"/>
    <x v="5"/>
    <s v="Congo"/>
    <x v="0"/>
    <x v="0"/>
    <m/>
  </r>
  <r>
    <x v="197"/>
    <s v="Taxi:  Bureau-Banque BCI/ Aprro caisse"/>
    <s v="Transport"/>
    <s v="Office"/>
    <x v="24"/>
    <x v="608"/>
    <n v="560.94200000000001"/>
    <s v="Parfaite"/>
    <s v="P-AU-D1"/>
    <s v="PALF"/>
    <x v="5"/>
    <s v="Congo"/>
    <x v="0"/>
    <x v="0"/>
    <m/>
  </r>
  <r>
    <x v="197"/>
    <s v="Taxi:  Banque- Direction MTN/Achat credit de l'equipe PALF"/>
    <s v="Transport"/>
    <s v="Office"/>
    <x v="24"/>
    <x v="608"/>
    <n v="560.94200000000001"/>
    <s v="Parfaite"/>
    <s v="P-AU-D1"/>
    <s v="PALF"/>
    <x v="5"/>
    <s v="Congo"/>
    <x v="0"/>
    <x v="0"/>
    <m/>
  </r>
  <r>
    <x v="197"/>
    <s v="Taxi:   Direction MTN- Bureau/Achat credit de l'equipe PALF"/>
    <s v="Transport"/>
    <s v="Office"/>
    <x v="24"/>
    <x v="608"/>
    <n v="560.94200000000001"/>
    <s v="Parfaite"/>
    <s v="P-AU-D1"/>
    <s v="PALF"/>
    <x v="5"/>
    <s v="Congo"/>
    <x v="0"/>
    <x v="0"/>
    <m/>
  </r>
  <r>
    <x v="197"/>
    <s v="Credit teléphonique MTN PALF/ du 18 au 31 Août 2025/ Parfaite"/>
    <s v="Telephone"/>
    <s v="Management"/>
    <x v="4"/>
    <x v="626"/>
    <n v="560.94200000000001"/>
    <s v="Parfaite"/>
    <s v="P-AU-R1"/>
    <s v="PALF"/>
    <x v="5"/>
    <s v="Congo"/>
    <x v="0"/>
    <x v="0"/>
    <m/>
  </r>
  <r>
    <x v="197"/>
    <s v="Taxi moto hotel-mougougui,pour repérage"/>
    <s v="Transport"/>
    <s v="Investigation"/>
    <x v="294"/>
    <x v="618"/>
    <n v="560.94200000000001"/>
    <s v="P29"/>
    <s v="P29-AU-D1"/>
    <s v="PALF"/>
    <x v="5"/>
    <s v="Congo"/>
    <x v="0"/>
    <x v="0"/>
    <m/>
  </r>
  <r>
    <x v="197"/>
    <s v="Taxi moto mougougui-toligana,pour repérage"/>
    <s v="Transport"/>
    <s v="Investigation"/>
    <x v="294"/>
    <x v="618"/>
    <n v="560.94200000000001"/>
    <s v="P29"/>
    <s v="P29-AU-D1"/>
    <s v="PALF"/>
    <x v="5"/>
    <s v="Congo"/>
    <x v="0"/>
    <x v="0"/>
    <m/>
  </r>
  <r>
    <x v="197"/>
    <s v="Taxi tricycle toligana-bakadi,pour repérage"/>
    <s v="Transport"/>
    <s v="Investigation"/>
    <x v="24"/>
    <x v="608"/>
    <n v="560.94200000000001"/>
    <s v="P29"/>
    <s v="P29-AU-D1"/>
    <s v="PALF"/>
    <x v="5"/>
    <s v="Congo"/>
    <x v="0"/>
    <x v="0"/>
    <m/>
  </r>
  <r>
    <x v="197"/>
    <s v="Taxi tricycle bakadi-cf,retrait des fonds"/>
    <s v="Transport"/>
    <s v="Investigation"/>
    <x v="24"/>
    <x v="608"/>
    <n v="560.94200000000001"/>
    <s v="P29"/>
    <s v="P29-AU-D1"/>
    <s v="PALF"/>
    <x v="5"/>
    <s v="Congo"/>
    <x v="0"/>
    <x v="0"/>
    <m/>
  </r>
  <r>
    <x v="197"/>
    <s v="Taxi tricycle cf-angola,pour réperage"/>
    <s v="Transport"/>
    <s v="Investigation"/>
    <x v="24"/>
    <x v="608"/>
    <n v="560.94200000000001"/>
    <s v="P29"/>
    <s v="P29-AU-D1"/>
    <s v="PALF"/>
    <x v="5"/>
    <s v="Congo"/>
    <x v="0"/>
    <x v="0"/>
    <m/>
  </r>
  <r>
    <x v="197"/>
    <s v="Taxi moto angola-tossagana,pour réperage"/>
    <s v="Transport"/>
    <s v="Investigation"/>
    <x v="294"/>
    <x v="618"/>
    <n v="560.94200000000001"/>
    <s v="P29"/>
    <s v="P29-AU-D1"/>
    <s v="PALF"/>
    <x v="5"/>
    <s v="Congo"/>
    <x v="0"/>
    <x v="0"/>
    <m/>
  </r>
  <r>
    <x v="197"/>
    <s v="Taxi tricycle tossagana-hotel"/>
    <s v="Transport"/>
    <s v="Investigation"/>
    <x v="24"/>
    <x v="608"/>
    <n v="560.94200000000001"/>
    <s v="P29"/>
    <s v="P29-AU-D1"/>
    <s v="PALF"/>
    <x v="5"/>
    <s v="Congo"/>
    <x v="0"/>
    <x v="0"/>
    <m/>
  </r>
  <r>
    <x v="197"/>
    <s v="Credit telephonique MTN PALF/ du 18 au 31 Août 2025/ Investigation/P29"/>
    <s v="Telephone"/>
    <s v="Investigation"/>
    <x v="4"/>
    <x v="626"/>
    <n v="560.94200000000001"/>
    <s v="P29"/>
    <s v="P29-AU-R6"/>
    <s v="PALF"/>
    <x v="5"/>
    <s v="Congo"/>
    <x v="0"/>
    <x v="0"/>
    <m/>
  </r>
  <r>
    <x v="197"/>
    <s v="Credit telephonique Airtel PALF/ du18 au 31 Août 2025/ Investigation/P29"/>
    <s v="Telephone"/>
    <s v="Investigation"/>
    <x v="31"/>
    <x v="612"/>
    <n v="560.94200000000001"/>
    <s v="P29"/>
    <s v="P29-AU-R7"/>
    <s v="PALF"/>
    <x v="5"/>
    <s v="Congo"/>
    <x v="0"/>
    <x v="0"/>
    <m/>
  </r>
  <r>
    <x v="197"/>
    <s v="Taxi moto : hotel KB fils -centre ville ( reperage lieu OP)"/>
    <s v="Transport"/>
    <s v="Investigation"/>
    <x v="294"/>
    <x v="618"/>
    <n v="560.94200000000001"/>
    <s v="T73"/>
    <s v="T73-AU-D1"/>
    <s v="PALF"/>
    <x v="5"/>
    <s v="Congo"/>
    <x v="0"/>
    <x v="0"/>
    <m/>
  </r>
  <r>
    <x v="197"/>
    <s v="Taxi moto : centre ville - quartier angola ( reperage lieu OP)"/>
    <s v="Transport"/>
    <s v="Investigation"/>
    <x v="294"/>
    <x v="618"/>
    <n v="560.94200000000001"/>
    <s v="T73"/>
    <s v="T73-AU-D1"/>
    <s v="PALF"/>
    <x v="5"/>
    <s v="Congo"/>
    <x v="0"/>
    <x v="0"/>
    <m/>
  </r>
  <r>
    <x v="197"/>
    <s v="Taxi moto : quartier angola - charden farell ( reperage lieu OP)"/>
    <s v="Transport"/>
    <s v="Investigation"/>
    <x v="294"/>
    <x v="618"/>
    <n v="560.94200000000001"/>
    <s v="T73"/>
    <s v="T73-AU-D1"/>
    <s v="PALF"/>
    <x v="5"/>
    <s v="Congo"/>
    <x v="0"/>
    <x v="0"/>
    <m/>
  </r>
  <r>
    <x v="197"/>
    <s v="Taxi moto : charden farell - hotel KB fils( reperage lieu OP)"/>
    <s v="Transport"/>
    <s v="Investigation"/>
    <x v="294"/>
    <x v="618"/>
    <n v="560.94200000000001"/>
    <s v="T73"/>
    <s v="T73-AU-D1"/>
    <s v="PALF"/>
    <x v="5"/>
    <s v="Congo"/>
    <x v="0"/>
    <x v="0"/>
    <m/>
  </r>
  <r>
    <x v="197"/>
    <s v="Credit telephonique MTN PALF/ du 14 au 17 Août 2025/ Investigation/T73"/>
    <s v="Telephone"/>
    <s v="Investigation"/>
    <x v="64"/>
    <x v="625"/>
    <n v="560.94200000000001"/>
    <s v="T73"/>
    <s v="T73-AU-R6"/>
    <s v="PALF"/>
    <x v="5"/>
    <s v="Congo"/>
    <x v="0"/>
    <x v="0"/>
    <m/>
  </r>
  <r>
    <x v="197"/>
    <s v="Taxi : Bureau - Agence Ocean du nord/ Achat billet "/>
    <s v="Transport"/>
    <s v="Investigation"/>
    <x v="24"/>
    <x v="608"/>
    <n v="560.94200000000001"/>
    <s v="IT87"/>
    <s v="IT87-AU-D1"/>
    <s v="PALF"/>
    <x v="5"/>
    <s v="Congo"/>
    <x v="0"/>
    <x v="0"/>
    <m/>
  </r>
  <r>
    <x v="197"/>
    <s v="Taxi : Agence Ocean du nord - Agence trans bony/ Achat billet"/>
    <s v="Transport"/>
    <s v="Investigation"/>
    <x v="24"/>
    <x v="608"/>
    <n v="560.94200000000001"/>
    <s v="IT87"/>
    <s v="IT87-AU-D1"/>
    <s v="PALF"/>
    <x v="5"/>
    <s v="Congo"/>
    <x v="0"/>
    <x v="0"/>
    <m/>
  </r>
  <r>
    <x v="197"/>
    <s v="Achat billet Brazzaville - Ngo/ IT87"/>
    <s v="Transport"/>
    <s v="Investigation"/>
    <x v="31"/>
    <x v="612"/>
    <n v="560.94200000000001"/>
    <s v="IT87"/>
    <s v="IT87-AU-R2"/>
    <s v="PALF"/>
    <x v="5"/>
    <s v="Congo"/>
    <x v="0"/>
    <x v="0"/>
    <m/>
  </r>
  <r>
    <x v="197"/>
    <s v="Taxi : Agence trans bony - Domicile/ Retour d'achat billet"/>
    <s v="Transport"/>
    <s v="Investigation"/>
    <x v="70"/>
    <x v="615"/>
    <n v="560.94200000000001"/>
    <s v="IT87"/>
    <s v="IT87-AU-D1"/>
    <s v="PALF"/>
    <x v="5"/>
    <s v="Congo"/>
    <x v="0"/>
    <x v="0"/>
    <m/>
  </r>
  <r>
    <x v="197"/>
    <s v="Credit telephonique MTN PALF/du 18au 31 Aout 2025/IT87"/>
    <s v="Telephone"/>
    <s v="Investigation"/>
    <x v="64"/>
    <x v="625"/>
    <n v="560.94200000000001"/>
    <s v="IT87"/>
    <s v="IT87-AU-R3"/>
    <s v="PALF"/>
    <x v="5"/>
    <s v="Congo"/>
    <x v="0"/>
    <x v="0"/>
    <m/>
  </r>
  <r>
    <x v="197"/>
    <s v="G12-CONGO Achat billet Brazzaville - Pointe Noire"/>
    <s v="Transport"/>
    <s v="Investigation"/>
    <x v="45"/>
    <x v="627"/>
    <n v="560.94200000000001"/>
    <s v="G12"/>
    <s v="G12-AU-R2"/>
    <s v="PALF"/>
    <x v="5"/>
    <s v="Congo"/>
    <x v="0"/>
    <x v="0"/>
    <m/>
  </r>
  <r>
    <x v="197"/>
    <s v="Credit telephonique MTN PALF/du 18 au 31 Aout 2025/G12"/>
    <s v="Telephone"/>
    <s v="Investigation"/>
    <x v="31"/>
    <x v="612"/>
    <n v="560.94200000000001"/>
    <s v="G12"/>
    <s v="G12-AU-R3"/>
    <s v="PALF"/>
    <x v="5"/>
    <s v="Congo"/>
    <x v="0"/>
    <x v="0"/>
    <m/>
  </r>
  <r>
    <x v="197"/>
    <s v="Credit telephonique Airtel PALF/du 18 au 31 Aout 2025/G12"/>
    <s v="Telephone"/>
    <s v="Investigation"/>
    <x v="4"/>
    <x v="626"/>
    <n v="560.94200000000001"/>
    <s v="G12"/>
    <s v="G12-AU-R4"/>
    <s v="PALF"/>
    <x v="5"/>
    <s v="Congo"/>
    <x v="0"/>
    <x v="0"/>
    <m/>
  </r>
  <r>
    <x v="197"/>
    <s v="Taxi: Bureau- Agence Charden Farell/ Transfert d'argent"/>
    <s v="Transport"/>
    <s v="Legal"/>
    <x v="294"/>
    <x v="618"/>
    <n v="560.94200000000001"/>
    <s v="Abraham"/>
    <s v="AB-AU-D1"/>
    <s v="PALF"/>
    <x v="5"/>
    <s v="Congo"/>
    <x v="0"/>
    <x v="0"/>
    <m/>
  </r>
  <r>
    <x v="197"/>
    <s v="Taxi: Agence Charden Farell-Bureau/Transfert d'argent"/>
    <s v="Transport"/>
    <s v="Legal"/>
    <x v="294"/>
    <x v="618"/>
    <n v="560.94200000000001"/>
    <s v="Abraham"/>
    <s v="AB-AU-D1"/>
    <s v="PALF"/>
    <x v="5"/>
    <s v="Congo"/>
    <x v="0"/>
    <x v="0"/>
    <m/>
  </r>
  <r>
    <x v="197"/>
    <s v="Frais de tansfert d'argent à crépin, Donald-Roméo, Evariste, P29 et T73"/>
    <s v="Transfert fees"/>
    <s v="Office"/>
    <x v="304"/>
    <x v="628"/>
    <n v="560.94200000000001"/>
    <s v="Abraham"/>
    <s v="CA-AU-R2"/>
    <s v="PALF"/>
    <x v="5"/>
    <s v="Congo"/>
    <x v="0"/>
    <x v="0"/>
    <m/>
  </r>
  <r>
    <x v="197"/>
    <s v="Credit telephonique MTN PALF/ du 18 au 31 Août 2025/Abraham"/>
    <s v="Telephone"/>
    <s v="Legal"/>
    <x v="31"/>
    <x v="612"/>
    <n v="560.94200000000001"/>
    <s v="Abraham"/>
    <s v="AB-AU-R1"/>
    <s v="PALF"/>
    <x v="5"/>
    <s v="Congo"/>
    <x v="0"/>
    <x v="0"/>
    <m/>
  </r>
  <r>
    <x v="197"/>
    <s v="Credit telephonique Airtel PALF/ du 18 au 31 Août 2025/Abraham"/>
    <s v="Telephone"/>
    <s v="Legal"/>
    <x v="31"/>
    <x v="612"/>
    <n v="560.94200000000001"/>
    <s v="Abraham"/>
    <s v="AB-AU-R2"/>
    <s v="PALF"/>
    <x v="5"/>
    <s v="Congo"/>
    <x v="0"/>
    <x v="0"/>
    <m/>
  </r>
  <r>
    <x v="197"/>
    <s v="Taxi:Bureau-Agence Trans bony de la frontiere pour la réservation du billet"/>
    <s v="Transport"/>
    <s v="Legal"/>
    <x v="24"/>
    <x v="608"/>
    <n v="560.94200000000001"/>
    <s v="Roderlin"/>
    <s v="RO-AU-D1"/>
    <s v="PALF"/>
    <x v="5"/>
    <s v="Congo"/>
    <x v="0"/>
    <x v="0"/>
    <m/>
  </r>
  <r>
    <x v="197"/>
    <s v=" Achat billet Brazzaville-Loudima/ Roderlin"/>
    <s v="Transport"/>
    <s v="Legal"/>
    <x v="37"/>
    <x v="629"/>
    <n v="560.94200000000001"/>
    <s v="Roderlin"/>
    <s v="RO-AU-R1"/>
    <s v="PALF"/>
    <x v="5"/>
    <s v="Congo"/>
    <x v="0"/>
    <x v="0"/>
    <m/>
  </r>
  <r>
    <x v="197"/>
    <s v="Taxi:Agence trans bony de la frontiere-Bureau"/>
    <s v="Transport"/>
    <s v="Legal"/>
    <x v="24"/>
    <x v="608"/>
    <n v="560.94200000000001"/>
    <s v="Roderlin"/>
    <s v="RO-AU-D1"/>
    <s v="PALF"/>
    <x v="5"/>
    <s v="Congo"/>
    <x v="0"/>
    <x v="0"/>
    <m/>
  </r>
  <r>
    <x v="197"/>
    <s v="Credit telephonique MTN PALF/du 18 au 31 Août 2025/Roderlin"/>
    <s v="Telephone"/>
    <s v="Legal"/>
    <x v="4"/>
    <x v="626"/>
    <n v="560.94200000000001"/>
    <s v="Roderlin"/>
    <s v="RO-AU-R2"/>
    <s v="PALF"/>
    <x v="5"/>
    <s v="Congo"/>
    <x v="0"/>
    <x v="0"/>
    <m/>
  </r>
  <r>
    <x v="197"/>
    <s v="Taxi Hôtel Mithé-Charden farell/ Retrait des fonds"/>
    <s v="Transport "/>
    <s v="Legal"/>
    <x v="294"/>
    <x v="618"/>
    <n v="560.94200000000001"/>
    <s v="Donald-Romeo"/>
    <s v="DR-AU-D1"/>
    <s v="PALF"/>
    <x v="5"/>
    <s v="Congo"/>
    <x v="0"/>
    <x v="0"/>
    <m/>
  </r>
  <r>
    <x v="197"/>
    <s v="Taxi Charden farell-Hôtel Mithé"/>
    <s v="Transport "/>
    <s v="Legal"/>
    <x v="294"/>
    <x v="618"/>
    <n v="560.94200000000001"/>
    <s v="Donald-Romeo"/>
    <s v="DR-AU-D1"/>
    <s v="PALF"/>
    <x v="5"/>
    <s v="Congo"/>
    <x v="0"/>
    <x v="0"/>
    <m/>
  </r>
  <r>
    <x v="197"/>
    <s v="Credit telephonique MTN PALF/du 18 au 31 Août 2025"/>
    <s v="Telephone"/>
    <s v="Legal"/>
    <x v="4"/>
    <x v="626"/>
    <n v="560.94200000000001"/>
    <s v="Donald-Romeo"/>
    <s v="DR-AU-R5"/>
    <s v="PALF"/>
    <x v="5"/>
    <s v="Congo"/>
    <x v="0"/>
    <x v="0"/>
    <m/>
  </r>
  <r>
    <x v="197"/>
    <s v="Credit telephonique MTN PALF/du 18 au 31 Août 2025"/>
    <s v="Telephone"/>
    <s v="Media"/>
    <x v="4"/>
    <x v="626"/>
    <n v="560.94200000000001"/>
    <s v="Evariste"/>
    <s v="EV-AU-R5"/>
    <s v="PALF"/>
    <x v="5"/>
    <s v="Congo"/>
    <x v="0"/>
    <x v="0"/>
    <m/>
  </r>
  <r>
    <x v="197"/>
    <s v="Credit telephonique MTN PALF/du 18 au 31 Août2025/Romain"/>
    <s v="Telephone"/>
    <s v="Legal"/>
    <x v="4"/>
    <x v="626"/>
    <n v="560.94200000000001"/>
    <s v="Romain"/>
    <s v="RM-AU-R1"/>
    <s v="PALF"/>
    <x v="5"/>
    <s v="Congo"/>
    <x v="0"/>
    <x v="0"/>
    <m/>
  </r>
  <r>
    <x v="198"/>
    <s v="Maison-Bureau"/>
    <s v="Transport"/>
    <s v="Management"/>
    <x v="24"/>
    <x v="608"/>
    <n v="560.94200000000001"/>
    <s v="DOVI"/>
    <s v="DH-AU-D1"/>
    <s v="PALF"/>
    <x v="5"/>
    <s v="Congo"/>
    <x v="0"/>
    <x v="0"/>
    <m/>
  </r>
  <r>
    <x v="198"/>
    <s v="Bureau-Cabinet d'huissier"/>
    <s v="Transport"/>
    <s v="Management"/>
    <x v="24"/>
    <x v="608"/>
    <n v="560.94200000000001"/>
    <s v="DOVI"/>
    <s v="DH-AU-D1"/>
    <s v="PALF"/>
    <x v="5"/>
    <s v="Congo"/>
    <x v="0"/>
    <x v="0"/>
    <m/>
  </r>
  <r>
    <x v="198"/>
    <s v="Cabinet d'huissier - Bureau"/>
    <s v="Transport"/>
    <s v="Management"/>
    <x v="24"/>
    <x v="608"/>
    <n v="560.94200000000001"/>
    <s v="DOVI"/>
    <s v="DH-AU-D1"/>
    <s v="PALF"/>
    <x v="5"/>
    <s v="Congo"/>
    <x v="0"/>
    <x v="0"/>
    <m/>
  </r>
  <r>
    <x v="198"/>
    <s v="Bureau-Maison"/>
    <s v="Transport"/>
    <s v="Management"/>
    <x v="24"/>
    <x v="608"/>
    <n v="560.94200000000001"/>
    <s v="DOVI"/>
    <s v="DH-AU-D1"/>
    <s v="PALF"/>
    <x v="5"/>
    <s v="Congo"/>
    <x v="0"/>
    <x v="0"/>
    <m/>
  </r>
  <r>
    <x v="198"/>
    <s v="Taxi:  Bureau- Cabinet d'avocat/Depot  de notification de suspension contat Mervielle"/>
    <s v="Transport"/>
    <s v="Office"/>
    <x v="24"/>
    <x v="608"/>
    <n v="560.94200000000001"/>
    <s v="Parfaite"/>
    <s v="P-AU-D1"/>
    <s v="PALF"/>
    <x v="5"/>
    <s v="Congo"/>
    <x v="0"/>
    <x v="0"/>
    <m/>
  </r>
  <r>
    <x v="198"/>
    <s v="Taxi:  Cabinet d'Avocat - Banque/Paiement frais de notification contrat romain ACPE"/>
    <s v="Transport"/>
    <s v="Office"/>
    <x v="24"/>
    <x v="608"/>
    <n v="560.94200000000001"/>
    <s v="Parfaite"/>
    <s v="P-AU-D1"/>
    <s v="PALF"/>
    <x v="5"/>
    <s v="Congo"/>
    <x v="0"/>
    <x v="0"/>
    <m/>
  </r>
  <r>
    <x v="198"/>
    <s v="Taxi:  Banque-Bureau /Paiement frais de notification contrat romain ACPE "/>
    <s v="Transport"/>
    <s v="Office"/>
    <x v="24"/>
    <x v="608"/>
    <n v="560.94200000000001"/>
    <s v="Parfaite"/>
    <s v="P-AU-D1"/>
    <s v="PALF"/>
    <x v="5"/>
    <s v="Congo"/>
    <x v="0"/>
    <x v="0"/>
    <m/>
  </r>
  <r>
    <x v="198"/>
    <s v="Taxi: Bureau - Super Marché / Achat produit d'entretien  bureau PALF"/>
    <s v="Transport"/>
    <s v="Office"/>
    <x v="24"/>
    <x v="608"/>
    <n v="560.94200000000001"/>
    <s v="Parfaite"/>
    <s v="P-AU-D1"/>
    <s v="PALF"/>
    <x v="5"/>
    <s v="Congo"/>
    <x v="0"/>
    <x v="0"/>
    <m/>
  </r>
  <r>
    <x v="198"/>
    <s v="Taxi: Super Marché  - Bureau/ Achat produit d'entretien  bureau PALF"/>
    <s v="Transport"/>
    <s v="Office"/>
    <x v="24"/>
    <x v="608"/>
    <n v="560.94200000000001"/>
    <s v="Parfaite"/>
    <s v="P-AU-D1"/>
    <s v="PALF"/>
    <x v="5"/>
    <s v="Congo"/>
    <x v="0"/>
    <x v="0"/>
    <m/>
  </r>
  <r>
    <x v="198"/>
    <s v="Frais de notification contrat Romain"/>
    <s v="Personnel"/>
    <s v="Legal"/>
    <x v="119"/>
    <x v="630"/>
    <n v="560.94200000000001"/>
    <s v="Parfaite"/>
    <s v="CA-AU-R4"/>
    <s v="PALF"/>
    <x v="5"/>
    <s v="Congo"/>
    <x v="0"/>
    <x v="0"/>
    <m/>
  </r>
  <r>
    <x v="198"/>
    <s v="Achat produit d'entretien laits /Bureau PALF"/>
    <s v="Office Materiels"/>
    <s v="Office"/>
    <x v="6"/>
    <x v="631"/>
    <n v="560.94200000000001"/>
    <s v="Parfaite"/>
    <s v="CA-AU-R5"/>
    <s v="PALF"/>
    <x v="5"/>
    <s v="Congo"/>
    <x v="0"/>
    <x v="0"/>
    <m/>
  </r>
  <r>
    <x v="198"/>
    <s v="Achat produit d'entretien javel /Bureau PALF"/>
    <s v="Office Materiels"/>
    <s v="Office"/>
    <x v="31"/>
    <x v="612"/>
    <n v="560.94200000000001"/>
    <s v="Parfaite"/>
    <s v="CA-AU-R5"/>
    <s v="PALF"/>
    <x v="5"/>
    <s v="Congo"/>
    <x v="0"/>
    <x v="0"/>
    <m/>
  </r>
  <r>
    <x v="198"/>
    <s v="Achat produit d'entretienPapier toilette/Bureau PALF"/>
    <s v="Office Materiels"/>
    <s v="Office"/>
    <x v="305"/>
    <x v="632"/>
    <n v="560.94200000000001"/>
    <s v="Parfaite"/>
    <s v="CA-AU-R5"/>
    <s v="PALF"/>
    <x v="5"/>
    <s v="Congo"/>
    <x v="0"/>
    <x v="0"/>
    <m/>
  </r>
  <r>
    <x v="198"/>
    <s v="Achat produit d'entretien Nettoyant menage /Bureau PALF"/>
    <s v="Office Materiels"/>
    <s v="Office"/>
    <x v="75"/>
    <x v="616"/>
    <n v="560.94200000000001"/>
    <s v="Parfaite"/>
    <s v="CA-AU-R5"/>
    <s v="PALF"/>
    <x v="5"/>
    <s v="Congo"/>
    <x v="0"/>
    <x v="0"/>
    <m/>
  </r>
  <r>
    <x v="198"/>
    <s v="Achat produit d'entretien bloc WC /Bureau PALF"/>
    <s v="Office Materiels"/>
    <s v="Office"/>
    <x v="306"/>
    <x v="633"/>
    <n v="560.94200000000001"/>
    <s v="Parfaite"/>
    <s v="CA-AU-R5"/>
    <s v="PALF"/>
    <x v="5"/>
    <s v="Congo"/>
    <x v="0"/>
    <x v="0"/>
    <m/>
  </r>
  <r>
    <x v="198"/>
    <s v="Achat produit d'entretienBoite Matinal /Bureau PALF"/>
    <s v="Office Materiels"/>
    <s v="Office"/>
    <x v="307"/>
    <x v="634"/>
    <n v="560.94200000000001"/>
    <s v="Parfaite"/>
    <s v="CA-AU-R5"/>
    <s v="PALF"/>
    <x v="5"/>
    <s v="Congo"/>
    <x v="0"/>
    <x v="0"/>
    <m/>
  </r>
  <r>
    <x v="198"/>
    <s v="Achat produit d'entretien paquet Lipton/Bureau PALF"/>
    <s v="Office Materiels"/>
    <s v="Office"/>
    <x v="306"/>
    <x v="633"/>
    <n v="560.94200000000001"/>
    <s v="Parfaite"/>
    <s v="CA-AU-R5"/>
    <s v="PALF"/>
    <x v="5"/>
    <s v="Congo"/>
    <x v="0"/>
    <x v="0"/>
    <m/>
  </r>
  <r>
    <x v="198"/>
    <s v="Achat produit d'entretien Liquide vaiselle /Bureau PALF"/>
    <s v="Office Materiels"/>
    <s v="Office"/>
    <x v="120"/>
    <x v="614"/>
    <n v="560.94200000000001"/>
    <s v="Parfaite"/>
    <s v="CA-AU-R5"/>
    <s v="PALF"/>
    <x v="5"/>
    <s v="Congo"/>
    <x v="0"/>
    <x v="0"/>
    <m/>
  </r>
  <r>
    <x v="198"/>
    <s v="Achat produit d'entretien Savon/Bureau PALF"/>
    <s v="Office Materiels"/>
    <s v="Office"/>
    <x v="308"/>
    <x v="635"/>
    <n v="560.94200000000001"/>
    <s v="Parfaite"/>
    <s v="CA-AU-R5"/>
    <s v="PALF"/>
    <x v="5"/>
    <s v="Congo"/>
    <x v="0"/>
    <x v="0"/>
    <m/>
  </r>
  <r>
    <x v="198"/>
    <s v="Achat produit d'entretien proclin detergent/Bureau PALF"/>
    <s v="Office Materiels"/>
    <s v="Office"/>
    <x v="309"/>
    <x v="636"/>
    <n v="560.94200000000001"/>
    <s v="Parfaite"/>
    <s v="CA-AU-R5"/>
    <s v="PALF"/>
    <x v="5"/>
    <s v="Congo"/>
    <x v="0"/>
    <x v="0"/>
    <m/>
  </r>
  <r>
    <x v="198"/>
    <s v="Achat produit d'entretien Sucre /Bureau PALF"/>
    <s v="Office Materiels"/>
    <s v="Office"/>
    <x v="306"/>
    <x v="633"/>
    <n v="560.94200000000001"/>
    <s v="Parfaite"/>
    <s v="CA-AU-R5"/>
    <s v="PALF"/>
    <x v="5"/>
    <s v="Congo"/>
    <x v="0"/>
    <x v="0"/>
    <m/>
  </r>
  <r>
    <x v="198"/>
    <s v="Achat produit d'entretien Sac poubelle /Bureau PALF"/>
    <s v="Office Materiels"/>
    <s v="Office"/>
    <x v="70"/>
    <x v="615"/>
    <n v="560.94200000000001"/>
    <s v="Parfaite"/>
    <s v="CA-AU-R5"/>
    <s v="PALF"/>
    <x v="5"/>
    <s v="Congo"/>
    <x v="0"/>
    <x v="0"/>
    <m/>
  </r>
  <r>
    <x v="198"/>
    <s v="Taxi tricycle hotel-angola,pour réperage"/>
    <s v="Transport"/>
    <s v="Investigation"/>
    <x v="24"/>
    <x v="608"/>
    <n v="560.94200000000001"/>
    <s v="P29"/>
    <s v="P29-AU-D1"/>
    <s v="PALF"/>
    <x v="5"/>
    <s v="Congo"/>
    <x v="0"/>
    <x v="0"/>
    <m/>
  </r>
  <r>
    <x v="198"/>
    <s v="Taxi tricycle angola-bakadi,pour reperage"/>
    <s v="Transport"/>
    <s v="Investigation"/>
    <x v="24"/>
    <x v="608"/>
    <n v="560.94200000000001"/>
    <s v="P29"/>
    <s v="P29-AU-D1"/>
    <s v="PALF"/>
    <x v="5"/>
    <s v="Congo"/>
    <x v="0"/>
    <x v="0"/>
    <m/>
  </r>
  <r>
    <x v="198"/>
    <s v="Taxi moto bakadi-tossagana,pour reperage"/>
    <s v="Transport"/>
    <s v="Investigation"/>
    <x v="294"/>
    <x v="618"/>
    <n v="560.94200000000001"/>
    <s v="P29"/>
    <s v="P29-AU-D1"/>
    <s v="PALF"/>
    <x v="5"/>
    <s v="Congo"/>
    <x v="0"/>
    <x v="0"/>
    <m/>
  </r>
  <r>
    <x v="198"/>
    <s v="Taxi tricycle tossagana-mougougui,pour reperage"/>
    <s v="Transport"/>
    <s v="Investigation"/>
    <x v="24"/>
    <x v="608"/>
    <n v="560.94200000000001"/>
    <s v="P29"/>
    <s v="P29-AU-D1"/>
    <s v="PALF"/>
    <x v="5"/>
    <s v="Congo"/>
    <x v="0"/>
    <x v="0"/>
    <m/>
  </r>
  <r>
    <x v="198"/>
    <s v="Taxi tricycle mougougui-aeroport,pour reperage"/>
    <s v="Transport"/>
    <s v="Investigation"/>
    <x v="24"/>
    <x v="608"/>
    <n v="560.94200000000001"/>
    <s v="P29"/>
    <s v="P29-AU-D1"/>
    <s v="PALF"/>
    <x v="5"/>
    <s v="Congo"/>
    <x v="0"/>
    <x v="0"/>
    <m/>
  </r>
  <r>
    <x v="198"/>
    <s v="Taxi moto aeroport-hotel"/>
    <s v="Transport"/>
    <s v="Investigation"/>
    <x v="294"/>
    <x v="618"/>
    <n v="560.94200000000001"/>
    <s v="P29"/>
    <s v="P29-AU-D1"/>
    <s v="PALF"/>
    <x v="5"/>
    <s v="Congo"/>
    <x v="0"/>
    <x v="0"/>
    <m/>
  </r>
  <r>
    <x v="198"/>
    <s v="Taxi moto : hotel - parking (départ pour dangou)"/>
    <s v="Transport"/>
    <s v="Investigation"/>
    <x v="294"/>
    <x v="618"/>
    <n v="560.94200000000001"/>
    <s v="T73"/>
    <s v="T73-AU-D1"/>
    <s v="PALF"/>
    <x v="5"/>
    <s v="Congo"/>
    <x v="0"/>
    <x v="0"/>
    <m/>
  </r>
  <r>
    <x v="198"/>
    <s v="Achat billet  Impfondo - Dangou/T73"/>
    <s v="Transport"/>
    <s v="Investigation"/>
    <x v="4"/>
    <x v="626"/>
    <n v="560.94200000000001"/>
    <s v="T73"/>
    <s v="T73-AU-R7"/>
    <s v="PALF"/>
    <x v="5"/>
    <s v="Congo"/>
    <x v="0"/>
    <x v="0"/>
    <m/>
  </r>
  <r>
    <x v="198"/>
    <s v="Taxi moto : parking - domicile ( cible)"/>
    <s v="Transport"/>
    <s v="Investigation"/>
    <x v="294"/>
    <x v="618"/>
    <n v="560.94200000000001"/>
    <s v="T73"/>
    <s v="T73-AU-D1"/>
    <s v="PALF"/>
    <x v="5"/>
    <s v="Congo"/>
    <x v="0"/>
    <x v="0"/>
    <m/>
  </r>
  <r>
    <x v="198"/>
    <s v="Taxi moto : domicile ( cible) - restaurant"/>
    <s v="Transport"/>
    <s v="Investigation"/>
    <x v="294"/>
    <x v="618"/>
    <n v="560.94200000000001"/>
    <s v="T73"/>
    <s v="T73-AU-D1"/>
    <s v="PALF"/>
    <x v="5"/>
    <s v="Congo"/>
    <x v="0"/>
    <x v="0"/>
    <m/>
  </r>
  <r>
    <x v="198"/>
    <s v="Taxi moto : restaurant - parking"/>
    <s v="Transport"/>
    <s v="Investigation"/>
    <x v="294"/>
    <x v="618"/>
    <n v="560.94200000000001"/>
    <s v="T73"/>
    <s v="T73-AU-D1"/>
    <s v="PALF"/>
    <x v="5"/>
    <s v="Congo"/>
    <x v="0"/>
    <x v="0"/>
    <m/>
  </r>
  <r>
    <x v="198"/>
    <s v="Achat billet  Dangou - Impfondo/T73"/>
    <s v="Transport"/>
    <s v="Investigation"/>
    <x v="4"/>
    <x v="626"/>
    <n v="560.94200000000001"/>
    <s v="T73"/>
    <s v="T73-AU-R8"/>
    <s v="PALF"/>
    <x v="5"/>
    <s v="Congo"/>
    <x v="0"/>
    <x v="0"/>
    <m/>
  </r>
  <r>
    <x v="198"/>
    <s v="Taxi moto : parking - hotel KB fils"/>
    <s v="Transport"/>
    <s v="Investigation"/>
    <x v="294"/>
    <x v="618"/>
    <n v="560.94200000000001"/>
    <s v="T73"/>
    <s v="T73-AU-D1"/>
    <s v="PALF"/>
    <x v="5"/>
    <s v="Congo"/>
    <x v="0"/>
    <x v="0"/>
    <m/>
  </r>
  <r>
    <x v="198"/>
    <s v="IT87-CONGO Ration du 19 au 24/08/2025 à Djambala, Ngo, Inoni"/>
    <s v="Travel Subsistence"/>
    <s v="Investigation"/>
    <x v="30"/>
    <x v="637"/>
    <n v="560.94200000000001"/>
    <s v="IT87"/>
    <s v="IT87-AU-D2"/>
    <s v="PALF"/>
    <x v="5"/>
    <s v="Congo"/>
    <x v="0"/>
    <x v="0"/>
    <m/>
  </r>
  <r>
    <x v="198"/>
    <s v="Taxi : Domicile - Agence Trans bony/ Départ de Brazzaville pour Djambala par Ngo"/>
    <s v="Transport"/>
    <s v="Investigation"/>
    <x v="70"/>
    <x v="615"/>
    <n v="560.94200000000001"/>
    <s v="IT87"/>
    <s v="IT87-AU-D1"/>
    <s v="PALF"/>
    <x v="5"/>
    <s v="Congo"/>
    <x v="0"/>
    <x v="0"/>
    <m/>
  </r>
  <r>
    <x v="198"/>
    <s v="Taxi : Agence trans bony Ngo - Parking/ Arrivé à Ngo"/>
    <s v="Transport"/>
    <s v="Investigation"/>
    <x v="294"/>
    <x v="618"/>
    <n v="560.94200000000001"/>
    <s v="IT87"/>
    <s v="IT87-AU-D1"/>
    <s v="PALF"/>
    <x v="5"/>
    <s v="Congo"/>
    <x v="0"/>
    <x v="0"/>
    <m/>
  </r>
  <r>
    <x v="198"/>
    <s v="Achat billet Ngo - Djambala/ IT87"/>
    <s v="Transport"/>
    <s v="Investigation"/>
    <x v="101"/>
    <x v="638"/>
    <n v="560.94200000000001"/>
    <s v="IT87"/>
    <s v="IT87-AU-R4"/>
    <s v="PALF"/>
    <x v="5"/>
    <s v="Congo"/>
    <x v="0"/>
    <x v="0"/>
    <m/>
  </r>
  <r>
    <x v="198"/>
    <s v="Taxi : Parking - Hôtel/ Arrivé à Djambala"/>
    <s v="Transport"/>
    <s v="Investigation"/>
    <x v="294"/>
    <x v="618"/>
    <n v="560.94200000000001"/>
    <s v="IT87"/>
    <s v="IT87-AU-D1"/>
    <s v="PALF"/>
    <x v="5"/>
    <s v="Congo"/>
    <x v="0"/>
    <x v="0"/>
    <m/>
  </r>
  <r>
    <x v="198"/>
    <s v="G12-CONGO Ration du 19 au 23/08/2025 à Pointe Noire, Nzassi et Hinda"/>
    <s v="Travel Subsistence"/>
    <s v="Investigation"/>
    <x v="30"/>
    <x v="637"/>
    <n v="560.94200000000001"/>
    <s v="G12"/>
    <s v="G12-AU-D2"/>
    <s v="PALF"/>
    <x v="5"/>
    <s v="Congo"/>
    <x v="0"/>
    <x v="0"/>
    <m/>
  </r>
  <r>
    <x v="198"/>
    <s v="Taxi: Domicile- agence"/>
    <s v="Transport"/>
    <s v="Investigation"/>
    <x v="24"/>
    <x v="608"/>
    <n v="560.94200000000001"/>
    <s v="G12"/>
    <s v="G12-AU-D1"/>
    <s v="PALF"/>
    <x v="5"/>
    <s v="Congo"/>
    <x v="0"/>
    <x v="0"/>
    <m/>
  </r>
  <r>
    <x v="198"/>
    <s v="Taxi: Agence - hotel"/>
    <s v="Transport"/>
    <s v="Investigation"/>
    <x v="24"/>
    <x v="608"/>
    <n v="560.94200000000001"/>
    <s v="G12"/>
    <s v="G12-AU-D1"/>
    <s v="PALF"/>
    <x v="5"/>
    <s v="Congo"/>
    <x v="0"/>
    <x v="0"/>
    <m/>
  </r>
  <r>
    <x v="198"/>
    <s v="Taxi:Domicile-Agence Trans bony de kintélé"/>
    <s v="Transport"/>
    <s v="Legal"/>
    <x v="24"/>
    <x v="608"/>
    <n v="560.94200000000001"/>
    <s v="Roderlin"/>
    <s v="RO-AU-D1"/>
    <s v="PALF"/>
    <x v="5"/>
    <s v="Congo"/>
    <x v="0"/>
    <x v="0"/>
    <m/>
  </r>
  <r>
    <x v="198"/>
    <s v=" Achat billet Loudima-Sibiti/ Roderlin"/>
    <s v="Transport"/>
    <s v="Legal"/>
    <x v="101"/>
    <x v="638"/>
    <n v="560.94200000000001"/>
    <s v="Roderlin"/>
    <s v="RO-AU-R3"/>
    <s v="PALF"/>
    <x v="5"/>
    <s v="Congo"/>
    <x v="0"/>
    <x v="0"/>
    <m/>
  </r>
  <r>
    <x v="198"/>
    <s v="Taxi-moto: La gare routiere de Sibiti-Hôtel le papyrus "/>
    <s v="Transport"/>
    <s v="Legal"/>
    <x v="294"/>
    <x v="618"/>
    <n v="560.94200000000001"/>
    <s v="Roderlin"/>
    <s v="RO-AU-D1"/>
    <s v="PALF"/>
    <x v="5"/>
    <s v="Congo"/>
    <x v="0"/>
    <x v="0"/>
    <m/>
  </r>
  <r>
    <x v="198"/>
    <s v="Taxi-moto:Hôtel le papyrus-Marché pour l'achat de la ration du  prevenu"/>
    <s v="Transport"/>
    <s v="Legal"/>
    <x v="310"/>
    <x v="639"/>
    <n v="560.94200000000001"/>
    <s v="Roderlin"/>
    <s v="RO-AU-D1"/>
    <s v="PALF"/>
    <x v="5"/>
    <s v="Congo"/>
    <x v="0"/>
    <x v="0"/>
    <m/>
  </r>
  <r>
    <x v="198"/>
    <s v="Ration  du prevenu MANKOUSSOU Auzere à la maison d'arrêt de Sibiti/soir"/>
    <s v="Jail visit"/>
    <s v="Legal"/>
    <x v="120"/>
    <x v="614"/>
    <n v="560.94200000000001"/>
    <s v="Roderlin"/>
    <s v="RO-AU-D3"/>
    <s v="PALF"/>
    <x v="5"/>
    <s v="Congo"/>
    <x v="0"/>
    <x v="0"/>
    <m/>
  </r>
  <r>
    <x v="198"/>
    <s v="Taxi-moto:Marché-Maison d'arrêt de Sibiti"/>
    <s v="Transport"/>
    <s v="Legal"/>
    <x v="310"/>
    <x v="639"/>
    <n v="560.94200000000001"/>
    <s v="Roderlin"/>
    <s v="RO-AU-D1"/>
    <s v="PALF"/>
    <x v="5"/>
    <s v="Congo"/>
    <x v="0"/>
    <x v="0"/>
    <m/>
  </r>
  <r>
    <x v="198"/>
    <s v="Taxi-moto:Maison d'arrêt de Sibiti-Hôtel le papyrus"/>
    <s v="Transport"/>
    <s v="Legal"/>
    <x v="310"/>
    <x v="639"/>
    <n v="560.94200000000001"/>
    <s v="Roderlin"/>
    <s v="RO-AU-D1"/>
    <s v="PALF"/>
    <x v="5"/>
    <s v="Congo"/>
    <x v="0"/>
    <x v="0"/>
    <m/>
  </r>
  <r>
    <x v="198"/>
    <s v="RODERLIN-CONGO Ration du 19 au 21/08/2025 à Sibiti (02 nuitées)"/>
    <s v="Travel Subsistence"/>
    <s v="Legal"/>
    <x v="0"/>
    <x v="640"/>
    <n v="560.94200000000001"/>
    <s v="Roderlin"/>
    <s v="RO-AU-D2"/>
    <s v="PALF"/>
    <x v="5"/>
    <s v="Congo"/>
    <x v="0"/>
    <x v="0"/>
    <m/>
  </r>
  <r>
    <x v="198"/>
    <s v="Taxi: Bureau Agence Trans Bony de la Frontière"/>
    <s v="Transport"/>
    <s v="Legal"/>
    <x v="24"/>
    <x v="608"/>
    <n v="560.94200000000001"/>
    <s v="Romain"/>
    <s v="RM-AU-D1"/>
    <s v="PALF"/>
    <x v="5"/>
    <s v="Congo"/>
    <x v="0"/>
    <x v="0"/>
    <m/>
  </r>
  <r>
    <x v="198"/>
    <s v="Taxi: Agence Trans Bony de la Frontière-Agence Trans Bony de Diata"/>
    <s v="Transport"/>
    <s v="Legal"/>
    <x v="24"/>
    <x v="608"/>
    <n v="560.94200000000001"/>
    <s v="Romain"/>
    <s v="RM-AU-D1"/>
    <s v="PALF"/>
    <x v="5"/>
    <s v="Congo"/>
    <x v="0"/>
    <x v="0"/>
    <m/>
  </r>
  <r>
    <x v="198"/>
    <s v="Taxi: Agence Trans Bony de Diata-Bureau"/>
    <s v="Transport"/>
    <s v="Legal"/>
    <x v="24"/>
    <x v="608"/>
    <n v="560.94200000000001"/>
    <s v="Romain"/>
    <s v="RM-AU-D1"/>
    <s v="PALF"/>
    <x v="5"/>
    <s v="Congo"/>
    <x v="0"/>
    <x v="0"/>
    <m/>
  </r>
  <r>
    <x v="198"/>
    <s v="Achat billet Brazzaville-Dolisie (Au nom de LOUNDOU Jean Romain)"/>
    <s v="Transport"/>
    <s v="Legal"/>
    <x v="94"/>
    <x v="641"/>
    <n v="560.94200000000001"/>
    <s v="Abraham"/>
    <s v="AB-AU-R3"/>
    <s v="PALF"/>
    <x v="5"/>
    <s v="Congo"/>
    <x v="0"/>
    <x v="0"/>
    <m/>
  </r>
  <r>
    <x v="199"/>
    <s v="Maison-Bureau"/>
    <s v="Transport"/>
    <s v="Management"/>
    <x v="24"/>
    <x v="608"/>
    <n v="560.94200000000001"/>
    <s v="DOVI"/>
    <s v="DH-AU-D1"/>
    <s v="PALF"/>
    <x v="5"/>
    <s v="Congo"/>
    <x v="0"/>
    <x v="0"/>
    <m/>
  </r>
  <r>
    <x v="199"/>
    <s v="Bureau-Maison"/>
    <s v="Transport"/>
    <s v="Management"/>
    <x v="24"/>
    <x v="608"/>
    <n v="560.94200000000001"/>
    <s v="DOVI"/>
    <s v="DH-AU-D1"/>
    <s v="PALF"/>
    <x v="5"/>
    <s v="Congo"/>
    <x v="0"/>
    <x v="0"/>
    <m/>
  </r>
  <r>
    <x v="199"/>
    <s v="Taxi: Bureau - Charden Farell/transfert d'argent à G12 et IT87"/>
    <s v="Transport"/>
    <s v="Office"/>
    <x v="294"/>
    <x v="618"/>
    <n v="560.94200000000001"/>
    <s v="Parfaite"/>
    <s v="P-AU-D1"/>
    <s v="PALF"/>
    <x v="5"/>
    <s v="Congo"/>
    <x v="0"/>
    <x v="0"/>
    <m/>
  </r>
  <r>
    <x v="199"/>
    <s v="Taxi: Charden Farell- Bureau/transferft d'argent"/>
    <s v="Transport"/>
    <s v="Office"/>
    <x v="294"/>
    <x v="618"/>
    <n v="560.94200000000001"/>
    <s v="Parfaite"/>
    <s v="P-AU-D1"/>
    <s v="PALF"/>
    <x v="5"/>
    <s v="Congo"/>
    <x v="0"/>
    <x v="0"/>
    <m/>
  </r>
  <r>
    <x v="199"/>
    <s v="Frais de tansfert d'argent à G12 et IT87"/>
    <s v="Transfert fees"/>
    <s v="Office"/>
    <x v="311"/>
    <x v="642"/>
    <n v="560.94200000000001"/>
    <s v="Parfaite"/>
    <s v="CA-AU-R6"/>
    <s v="PALF"/>
    <x v="5"/>
    <s v="Congo"/>
    <x v="0"/>
    <x v="0"/>
    <m/>
  </r>
  <r>
    <x v="199"/>
    <s v="Taxi tricycle hotel kb fils-hotel mithe,travail avec l'équipe"/>
    <s v="Transport"/>
    <s v="Investigation"/>
    <x v="24"/>
    <x v="608"/>
    <n v="560.94200000000001"/>
    <s v="P29"/>
    <s v="P29-AU-D1"/>
    <s v="PALF"/>
    <x v="5"/>
    <s v="Congo"/>
    <x v="0"/>
    <x v="0"/>
    <m/>
  </r>
  <r>
    <x v="199"/>
    <s v="Taxi tricycle hotel mithe-hotel kb fils"/>
    <s v="Transport"/>
    <s v="Investigation"/>
    <x v="24"/>
    <x v="608"/>
    <n v="560.94200000000001"/>
    <s v="P29"/>
    <s v="P29-AU-D1"/>
    <s v="PALF"/>
    <x v="5"/>
    <s v="Congo"/>
    <x v="0"/>
    <x v="0"/>
    <m/>
  </r>
  <r>
    <x v="199"/>
    <s v="Taxi tricycle hotel kb fils-hotel mithe,travail avec l'équipe"/>
    <s v="Transport"/>
    <s v="Investigation"/>
    <x v="24"/>
    <x v="608"/>
    <n v="560.94200000000001"/>
    <s v="P29"/>
    <s v="P29-AU-D1"/>
    <s v="PALF"/>
    <x v="5"/>
    <s v="Congo"/>
    <x v="0"/>
    <x v="0"/>
    <m/>
  </r>
  <r>
    <x v="199"/>
    <s v="Taxi tricycle hotel mithe-hotel kb fils"/>
    <s v="Transport"/>
    <s v="Investigation"/>
    <x v="24"/>
    <x v="608"/>
    <n v="560.94200000000001"/>
    <s v="P29"/>
    <s v="P29-AU-D1"/>
    <s v="PALF"/>
    <x v="5"/>
    <s v="Congo"/>
    <x v="0"/>
    <x v="0"/>
    <m/>
  </r>
  <r>
    <x v="199"/>
    <s v="Taxi moto : hotel KB fils - hotel mithe (reunion avec l'équipe)"/>
    <s v="Transport"/>
    <s v="Investigation"/>
    <x v="294"/>
    <x v="618"/>
    <n v="560.94200000000001"/>
    <s v="T73"/>
    <s v="T73-AU-D1"/>
    <s v="PALF"/>
    <x v="5"/>
    <s v="Congo"/>
    <x v="0"/>
    <x v="0"/>
    <m/>
  </r>
  <r>
    <x v="199"/>
    <s v="Taxi moto : hotel mithe - KB fils  (reunion avec l'équipe)"/>
    <s v="Transport"/>
    <s v="Investigation"/>
    <x v="294"/>
    <x v="618"/>
    <n v="560.94200000000001"/>
    <s v="T73"/>
    <s v="T73-AU-D1"/>
    <s v="PALF"/>
    <x v="5"/>
    <s v="Congo"/>
    <x v="0"/>
    <x v="0"/>
    <m/>
  </r>
  <r>
    <x v="199"/>
    <s v="Taxi moto : Hôtel - Marché/ Prospection"/>
    <s v="Transport"/>
    <s v="Investigation"/>
    <x v="294"/>
    <x v="618"/>
    <n v="560.94200000000001"/>
    <s v="IT87"/>
    <s v="IT87-AU-D1"/>
    <s v="PALF"/>
    <x v="5"/>
    <s v="Congo"/>
    <x v="0"/>
    <x v="0"/>
    <m/>
  </r>
  <r>
    <x v="199"/>
    <s v="Achat boissons avec une cible"/>
    <s v="Trust Building"/>
    <s v="Investigation"/>
    <x v="120"/>
    <x v="614"/>
    <n v="560.94200000000001"/>
    <s v="IT87"/>
    <s v="IT87-AU-D3"/>
    <s v="PALF"/>
    <x v="5"/>
    <s v="Congo"/>
    <x v="0"/>
    <x v="0"/>
    <m/>
  </r>
  <r>
    <x v="199"/>
    <s v="Taxi moto : Marché - Centre ville/ Prospection"/>
    <s v="Transport"/>
    <s v="Investigation"/>
    <x v="294"/>
    <x v="618"/>
    <n v="560.94200000000001"/>
    <s v="IT87"/>
    <s v="IT87-AU-D1"/>
    <s v="PALF"/>
    <x v="5"/>
    <s v="Congo"/>
    <x v="0"/>
    <x v="0"/>
    <m/>
  </r>
  <r>
    <x v="199"/>
    <s v="Taxi moto : Centre ville - Charden Farel/ Retrait budget"/>
    <s v="Transport"/>
    <s v="Investigation"/>
    <x v="294"/>
    <x v="618"/>
    <n v="560.94200000000001"/>
    <s v="IT87"/>
    <s v="IT87-AU-D1"/>
    <s v="PALF"/>
    <x v="5"/>
    <s v="Congo"/>
    <x v="0"/>
    <x v="0"/>
    <m/>
  </r>
  <r>
    <x v="199"/>
    <s v="Taxi moto : Charden Farel - Avenue de l'Entente/ Prospection"/>
    <s v="Transport"/>
    <s v="Investigation"/>
    <x v="294"/>
    <x v="618"/>
    <n v="560.94200000000001"/>
    <s v="IT87"/>
    <s v="IT87-AU-D1"/>
    <s v="PALF"/>
    <x v="5"/>
    <s v="Congo"/>
    <x v="0"/>
    <x v="0"/>
    <m/>
  </r>
  <r>
    <x v="199"/>
    <s v="Taxi moto : Avenue de l'entente - Hôtel/ Retour de prospection"/>
    <s v="Transport"/>
    <s v="Investigation"/>
    <x v="294"/>
    <x v="618"/>
    <n v="560.94200000000001"/>
    <s v="IT87"/>
    <s v="IT87-AU-D1"/>
    <s v="PALF"/>
    <x v="5"/>
    <s v="Congo"/>
    <x v="0"/>
    <x v="0"/>
    <m/>
  </r>
  <r>
    <x v="199"/>
    <s v="Taxi: Hotel- quartier mvumvu"/>
    <s v="Transport"/>
    <s v="Investigation"/>
    <x v="24"/>
    <x v="608"/>
    <n v="560.94200000000001"/>
    <s v="G12"/>
    <s v="G12-AU-D1"/>
    <s v="PALF"/>
    <x v="5"/>
    <s v="Congo"/>
    <x v="0"/>
    <x v="0"/>
    <m/>
  </r>
  <r>
    <x v="199"/>
    <s v="Taxi: marché mvumvu - fond de tié tié"/>
    <s v="Transport"/>
    <s v="Investigation"/>
    <x v="24"/>
    <x v="608"/>
    <n v="560.94200000000001"/>
    <s v="G12"/>
    <s v="G12-AU-D1"/>
    <s v="PALF"/>
    <x v="5"/>
    <s v="Congo"/>
    <x v="0"/>
    <x v="0"/>
    <m/>
  </r>
  <r>
    <x v="199"/>
    <s v="Taxi : Fond tié tié - charden farell "/>
    <s v="Transport"/>
    <s v="Investigation"/>
    <x v="24"/>
    <x v="608"/>
    <n v="560.94200000000001"/>
    <s v="G12"/>
    <s v="G12-AU-D1"/>
    <s v="PALF"/>
    <x v="5"/>
    <s v="Congo"/>
    <x v="0"/>
    <x v="0"/>
    <m/>
  </r>
  <r>
    <x v="199"/>
    <s v="Taxi: Charden farell- marché oui"/>
    <s v="Transport"/>
    <s v="Investigation"/>
    <x v="24"/>
    <x v="608"/>
    <n v="560.94200000000001"/>
    <s v="G12"/>
    <s v="G12-AU-D1"/>
    <s v="PALF"/>
    <x v="5"/>
    <s v="Congo"/>
    <x v="0"/>
    <x v="0"/>
    <m/>
  </r>
  <r>
    <x v="199"/>
    <s v="Achat boisson 1 cible"/>
    <s v="Trust Building"/>
    <s v="Investigation"/>
    <x v="24"/>
    <x v="608"/>
    <n v="560.94200000000001"/>
    <s v="G12"/>
    <s v="G12-AU-D3"/>
    <s v="PALF"/>
    <x v="5"/>
    <s v="Congo"/>
    <x v="0"/>
    <x v="0"/>
    <m/>
  </r>
  <r>
    <x v="199"/>
    <s v=" Taxi:Marché oui - hotel"/>
    <s v="Transport"/>
    <s v="Investigation"/>
    <x v="24"/>
    <x v="608"/>
    <n v="560.94200000000001"/>
    <s v="G12"/>
    <s v="G12-AU-D1"/>
    <s v="PALF"/>
    <x v="5"/>
    <s v="Congo"/>
    <x v="0"/>
    <x v="0"/>
    <m/>
  </r>
  <r>
    <x v="199"/>
    <s v="ABRAHAM - CONGO Ration du 20 au 22/08/2025 à Dolisie (02 Nuitées)"/>
    <s v="Travel Subsistence"/>
    <s v="Legal"/>
    <x v="0"/>
    <x v="640"/>
    <n v="560.94200000000001"/>
    <s v="Abraham"/>
    <s v="AB-AU-D2"/>
    <s v="PALF"/>
    <x v="5"/>
    <s v="Congo"/>
    <x v="0"/>
    <x v="0"/>
    <m/>
  </r>
  <r>
    <x v="199"/>
    <s v="Taxi:Domicile-Agence Tranbony de La frontière/ Prendre le depart pour Dolisie"/>
    <s v="Transport"/>
    <s v="Legal"/>
    <x v="24"/>
    <x v="608"/>
    <n v="560.94200000000001"/>
    <s v="Abraham"/>
    <s v="AB-AU-D1"/>
    <s v="PALF"/>
    <x v="5"/>
    <s v="Congo"/>
    <x v="0"/>
    <x v="0"/>
    <m/>
  </r>
  <r>
    <x v="199"/>
    <s v="Taxi:Agence Transbony de Dolisie-Auberge Moukondo"/>
    <s v="Transport"/>
    <s v="Legal"/>
    <x v="24"/>
    <x v="608"/>
    <n v="560.94200000000001"/>
    <s v="Abraham"/>
    <s v="AB-AU-D1"/>
    <s v="PALF"/>
    <x v="5"/>
    <s v="Congo"/>
    <x v="0"/>
    <x v="0"/>
    <m/>
  </r>
  <r>
    <x v="199"/>
    <s v="Taxi:Auberge Moukondo-Maison d'arrêt de Dolisie"/>
    <s v="Transport"/>
    <s v="Legal"/>
    <x v="24"/>
    <x v="608"/>
    <n v="560.94200000000001"/>
    <s v="Abraham"/>
    <s v="AB-AU-D1"/>
    <s v="PALF"/>
    <x v="5"/>
    <s v="Congo"/>
    <x v="0"/>
    <x v="0"/>
    <m/>
  </r>
  <r>
    <x v="199"/>
    <s v="Ration/ Soir 5 détenus à la maison d'arrêt de Dolisie/ détenus visités: MBOUNGOU Dropsy, KISSAMBOU Yvon, PAMBOU Alain, BALENDA Jean Jacques, IVOUVOU"/>
    <s v="Jail visit"/>
    <s v="Legal"/>
    <x v="55"/>
    <x v="643"/>
    <n v="560.94200000000001"/>
    <s v="Abraham"/>
    <s v="AB-AU-D3"/>
    <s v="PALF"/>
    <x v="5"/>
    <s v="Congo"/>
    <x v="0"/>
    <x v="0"/>
    <m/>
  </r>
  <r>
    <x v="199"/>
    <s v="Taxi:Maison d'arrêt de Dolisie-Auberge Moukondo"/>
    <s v="Transport"/>
    <s v="Legal"/>
    <x v="24"/>
    <x v="608"/>
    <n v="560.94200000000001"/>
    <s v="Abraham"/>
    <s v="AB-AU-D1"/>
    <s v="PALF"/>
    <x v="5"/>
    <s v="Congo"/>
    <x v="0"/>
    <x v="0"/>
    <m/>
  </r>
  <r>
    <x v="199"/>
    <s v="Taxi-moto:Hôtel le papyrus-Marché pour l'achat de la ration du  prevenu"/>
    <s v="Transport"/>
    <s v="Legal"/>
    <x v="310"/>
    <x v="639"/>
    <n v="560.94200000000001"/>
    <s v="Roderlin"/>
    <s v="RO-AU-D1"/>
    <s v="PALF"/>
    <x v="5"/>
    <s v="Congo"/>
    <x v="0"/>
    <x v="0"/>
    <m/>
  </r>
  <r>
    <x v="199"/>
    <s v="Tation du prevenu MANKOUSSOU Auzere à la maison d'arrêt de Sibiti/matin"/>
    <s v="Jail visit"/>
    <s v="Legal"/>
    <x v="120"/>
    <x v="614"/>
    <n v="560.94200000000001"/>
    <s v="Roderlin"/>
    <s v="RO-AU-D3"/>
    <s v="PALF"/>
    <x v="5"/>
    <s v="Congo"/>
    <x v="0"/>
    <x v="0"/>
    <m/>
  </r>
  <r>
    <x v="199"/>
    <s v="Taxi-moto:Marché-Maison d'arrêt de Sibiti"/>
    <s v="Transport"/>
    <s v="Legal"/>
    <x v="310"/>
    <x v="639"/>
    <n v="560.94200000000001"/>
    <s v="Roderlin"/>
    <s v="RO-AU-D1"/>
    <s v="PALF"/>
    <x v="5"/>
    <s v="Congo"/>
    <x v="0"/>
    <x v="0"/>
    <m/>
  </r>
  <r>
    <x v="199"/>
    <s v="Taxi-moto:Maison d'arrêt de Sibiti-tGI pour la vérification des des expéditions "/>
    <s v="Transport"/>
    <s v="Legal"/>
    <x v="310"/>
    <x v="639"/>
    <n v="560.94200000000001"/>
    <s v="Roderlin"/>
    <s v="RO-AU-D1"/>
    <s v="PALF"/>
    <x v="5"/>
    <s v="Congo"/>
    <x v="0"/>
    <x v="0"/>
    <m/>
  </r>
  <r>
    <x v="199"/>
    <s v="Taxi-moto:TGI-Hotel le papyrus "/>
    <s v="Transport"/>
    <s v="Legal"/>
    <x v="310"/>
    <x v="639"/>
    <n v="560.94200000000001"/>
    <s v="Roderlin"/>
    <s v="RO-AU-D1"/>
    <s v="PALF"/>
    <x v="5"/>
    <s v="Congo"/>
    <x v="0"/>
    <x v="0"/>
    <m/>
  </r>
  <r>
    <x v="199"/>
    <s v="Taxi-moto:Hôtel le papyrus-Marché pour l'achat de la ration du  prevenu"/>
    <s v="Transport"/>
    <s v="Legal"/>
    <x v="310"/>
    <x v="639"/>
    <n v="560.94200000000001"/>
    <s v="Roderlin"/>
    <s v="RO-AU-D1"/>
    <s v="PALF"/>
    <x v="5"/>
    <s v="Congo"/>
    <x v="0"/>
    <x v="0"/>
    <m/>
  </r>
  <r>
    <x v="199"/>
    <s v="Ration du prevenu MANKOUSSOU Auzere à la maison d'arrêt de Sibiti/soir"/>
    <s v="Jail visit"/>
    <s v="Legal"/>
    <x v="120"/>
    <x v="614"/>
    <n v="560.94200000000001"/>
    <s v="Roderlin"/>
    <s v="RO-AU-D3"/>
    <s v="PALF"/>
    <x v="5"/>
    <s v="Congo"/>
    <x v="0"/>
    <x v="0"/>
    <m/>
  </r>
  <r>
    <x v="199"/>
    <s v="Taxi-moto:Marché-Maison d'arrêt de Sibiti"/>
    <s v="Transport"/>
    <s v="Legal"/>
    <x v="310"/>
    <x v="639"/>
    <n v="560.94200000000001"/>
    <s v="Roderlin"/>
    <s v="RO-AU-D1"/>
    <s v="PALF"/>
    <x v="5"/>
    <s v="Congo"/>
    <x v="0"/>
    <x v="0"/>
    <m/>
  </r>
  <r>
    <x v="199"/>
    <s v="Taxi-moto:Maison d'arrêt de Sibiti-Hôtel le papyrus"/>
    <s v="Transport"/>
    <s v="Legal"/>
    <x v="310"/>
    <x v="639"/>
    <n v="560.94200000000001"/>
    <s v="Roderlin"/>
    <s v="RO-AU-D1"/>
    <s v="PALF"/>
    <x v="5"/>
    <s v="Congo"/>
    <x v="0"/>
    <x v="0"/>
    <m/>
  </r>
  <r>
    <x v="199"/>
    <s v="Taxi: Domicile-Agence Trans Bony de Diata"/>
    <s v="Transport"/>
    <s v="Legal"/>
    <x v="67"/>
    <x v="644"/>
    <n v="560.94200000000001"/>
    <s v="Romain"/>
    <s v="RM-AU-D1"/>
    <s v="PALF"/>
    <x v="5"/>
    <s v="Congo"/>
    <x v="0"/>
    <x v="0"/>
    <m/>
  </r>
  <r>
    <x v="199"/>
    <s v="Taxi: Agence Trans Bony de Diata-Bureau"/>
    <s v="Transport"/>
    <s v="Legal"/>
    <x v="24"/>
    <x v="608"/>
    <n v="560.94200000000001"/>
    <s v="Romain"/>
    <s v="RM-AU-D1"/>
    <s v="PALF"/>
    <x v="5"/>
    <s v="Congo"/>
    <x v="0"/>
    <x v="0"/>
    <m/>
  </r>
  <r>
    <x v="199"/>
    <s v="Taxi: Bureau-Agence Océan du Nord de Talangai"/>
    <s v="Transport"/>
    <s v="Legal"/>
    <x v="120"/>
    <x v="614"/>
    <n v="560.94200000000001"/>
    <s v="Romain"/>
    <s v="RM-AU-D1"/>
    <s v="PALF"/>
    <x v="5"/>
    <s v="Congo"/>
    <x v="0"/>
    <x v="0"/>
    <m/>
  </r>
  <r>
    <x v="199"/>
    <s v="Taxi: Agence Océan du Nord de Talangai-Bureau"/>
    <s v="Transport"/>
    <s v="Legal"/>
    <x v="120"/>
    <x v="614"/>
    <n v="560.94200000000001"/>
    <s v="Romain"/>
    <s v="RM-AU-D1"/>
    <s v="PALF"/>
    <x v="5"/>
    <s v="Congo"/>
    <x v="0"/>
    <x v="0"/>
    <m/>
  </r>
  <r>
    <x v="200"/>
    <s v="Maison-Bureau"/>
    <s v="Transport"/>
    <s v="Management"/>
    <x v="24"/>
    <x v="608"/>
    <n v="560.94200000000001"/>
    <s v="DOVI"/>
    <s v="DH-AU-D1"/>
    <s v="PALF"/>
    <x v="5"/>
    <s v="Congo"/>
    <x v="0"/>
    <x v="0"/>
    <m/>
  </r>
  <r>
    <x v="200"/>
    <s v="Bureau-Maison"/>
    <s v="Transport"/>
    <s v="Management"/>
    <x v="24"/>
    <x v="608"/>
    <n v="560.94200000000001"/>
    <s v="DOVI"/>
    <s v="DH-AU-D1"/>
    <s v="PALF"/>
    <x v="5"/>
    <s v="Congo"/>
    <x v="0"/>
    <x v="0"/>
    <m/>
  </r>
  <r>
    <x v="200"/>
    <s v="Taxi:  Bureau- Cabinet maitre LOCKO/remis de chèque du mois de Juin 2025"/>
    <s v="Transport"/>
    <s v="Office"/>
    <x v="24"/>
    <x v="608"/>
    <n v="560.94200000000001"/>
    <s v="Parfaite"/>
    <s v="P-AU-D1"/>
    <s v="PALF"/>
    <x v="5"/>
    <s v="Congo"/>
    <x v="0"/>
    <x v="0"/>
    <m/>
  </r>
  <r>
    <x v="200"/>
    <s v="Taxi:  Cabinet maitre LOCKO - Domicile/remis de chèque du mois de Juin  2025"/>
    <s v="Transport"/>
    <s v="Office"/>
    <x v="24"/>
    <x v="608"/>
    <n v="560.94200000000001"/>
    <s v="Parfaite"/>
    <s v="P-AU-D1"/>
    <s v="PALF"/>
    <x v="5"/>
    <s v="Congo"/>
    <x v="0"/>
    <x v="0"/>
    <m/>
  </r>
  <r>
    <x v="200"/>
    <s v="Taxi tricycle hotel kb fils-hotel mithe,travail avec l'équipe"/>
    <s v="Transport"/>
    <s v="Investigation"/>
    <x v="24"/>
    <x v="608"/>
    <n v="560.94200000000001"/>
    <s v="P29"/>
    <s v="P29-AU-D1"/>
    <s v="PALF"/>
    <x v="5"/>
    <s v="Congo"/>
    <x v="0"/>
    <x v="0"/>
    <m/>
  </r>
  <r>
    <x v="200"/>
    <s v="Taxi tricycle hotel mithe-hotel kb fils"/>
    <s v="Transport"/>
    <s v="Investigation"/>
    <x v="24"/>
    <x v="608"/>
    <n v="560.94200000000001"/>
    <s v="P29"/>
    <s v="P29-AU-D1"/>
    <s v="PALF"/>
    <x v="5"/>
    <s v="Congo"/>
    <x v="0"/>
    <x v="0"/>
    <m/>
  </r>
  <r>
    <x v="200"/>
    <s v="Taxi moto hotel kb fils-hotel mithe,travail avec l'équipe"/>
    <s v="Transport"/>
    <s v="Investigation"/>
    <x v="294"/>
    <x v="618"/>
    <n v="560.94200000000001"/>
    <s v="P29"/>
    <s v="P29-AU-D1"/>
    <s v="PALF"/>
    <x v="5"/>
    <s v="Congo"/>
    <x v="0"/>
    <x v="0"/>
    <m/>
  </r>
  <r>
    <x v="200"/>
    <s v="Taxi tricycle hotel mithe-hotel kb fils"/>
    <s v="Transport"/>
    <s v="Investigation"/>
    <x v="24"/>
    <x v="608"/>
    <n v="560.94200000000001"/>
    <s v="P29"/>
    <s v="P29-AU-D1"/>
    <s v="PALF"/>
    <x v="5"/>
    <s v="Congo"/>
    <x v="0"/>
    <x v="0"/>
    <m/>
  </r>
  <r>
    <x v="200"/>
    <s v="Taxi moto : hotel KB fils - hotel mithe (reunion avec l'équipe)"/>
    <s v="Transport"/>
    <s v="Investigation"/>
    <x v="294"/>
    <x v="618"/>
    <n v="560.94200000000001"/>
    <s v="T73"/>
    <s v="T73-AU-D1"/>
    <s v="PALF"/>
    <x v="5"/>
    <s v="Congo"/>
    <x v="0"/>
    <x v="0"/>
    <m/>
  </r>
  <r>
    <x v="200"/>
    <s v="Taxi moto : hotel mithe - KB fils  (reunion avec l'équipe)"/>
    <s v="Transport"/>
    <s v="Investigation"/>
    <x v="294"/>
    <x v="618"/>
    <n v="560.94200000000001"/>
    <s v="T73"/>
    <s v="T73-AU-D1"/>
    <s v="PALF"/>
    <x v="5"/>
    <s v="Congo"/>
    <x v="0"/>
    <x v="0"/>
    <m/>
  </r>
  <r>
    <x v="200"/>
    <s v="IT87-CONGO Frais d'hôtel du 19 au 21/08/2025 à Djambala (02 nuitées)"/>
    <s v="Travel Subsistence"/>
    <s v="Investigation"/>
    <x v="44"/>
    <x v="645"/>
    <n v="560.94200000000001"/>
    <s v="IT87"/>
    <s v="IT87-AU-R5"/>
    <s v="PALF"/>
    <x v="5"/>
    <s v="Congo"/>
    <x v="0"/>
    <x v="0"/>
    <m/>
  </r>
  <r>
    <x v="200"/>
    <s v="Taxi moto : Hôtel - Parking/ Départ de Djambala pour Ngo"/>
    <s v="Transport"/>
    <s v="Investigation"/>
    <x v="294"/>
    <x v="618"/>
    <n v="560.94200000000001"/>
    <s v="IT87"/>
    <s v="IT87-AU-D1"/>
    <s v="PALF"/>
    <x v="5"/>
    <s v="Congo"/>
    <x v="0"/>
    <x v="0"/>
    <m/>
  </r>
  <r>
    <x v="200"/>
    <s v="Achat billet Djambala - Ngo/ IT87"/>
    <s v="Transport"/>
    <s v="Investigation"/>
    <x v="101"/>
    <x v="638"/>
    <n v="560.94200000000001"/>
    <s v="IT87"/>
    <s v="IT87-AU-R6"/>
    <s v="PALF"/>
    <x v="5"/>
    <s v="Congo"/>
    <x v="0"/>
    <x v="0"/>
    <m/>
  </r>
  <r>
    <x v="200"/>
    <s v="Taxi moto : Parking - Hôtel Arc en ciel/ Arrivé à Ngo"/>
    <s v="Transport"/>
    <s v="Investigation"/>
    <x v="294"/>
    <x v="618"/>
    <n v="560.94200000000001"/>
    <s v="IT87"/>
    <s v="IT87-AU-D1"/>
    <s v="PALF"/>
    <x v="5"/>
    <s v="Congo"/>
    <x v="0"/>
    <x v="0"/>
    <m/>
  </r>
  <r>
    <x v="200"/>
    <s v="Taxi moto : Hôtel - Marché/ Prospection"/>
    <s v="Transport"/>
    <s v="Investigation"/>
    <x v="294"/>
    <x v="618"/>
    <n v="560.94200000000001"/>
    <s v="IT87"/>
    <s v="IT87-AU-D1"/>
    <s v="PALF"/>
    <x v="5"/>
    <s v="Congo"/>
    <x v="0"/>
    <x v="0"/>
    <m/>
  </r>
  <r>
    <x v="200"/>
    <s v="Taxi moto : Marché - Gare routière de Mpouya/ Prospection"/>
    <s v="Transport"/>
    <s v="Investigation"/>
    <x v="294"/>
    <x v="618"/>
    <n v="560.94200000000001"/>
    <s v="IT87"/>
    <s v="IT87-AU-D1"/>
    <s v="PALF"/>
    <x v="5"/>
    <s v="Congo"/>
    <x v="0"/>
    <x v="0"/>
    <m/>
  </r>
  <r>
    <x v="200"/>
    <s v="Taxi moto : Gare routière de Mpouya à Ngo - Hôtel/ Retour de prospection"/>
    <s v="Transport"/>
    <s v="Investigation"/>
    <x v="294"/>
    <x v="618"/>
    <n v="560.94200000000001"/>
    <s v="IT87"/>
    <s v="IT87-AU-D1"/>
    <s v="PALF"/>
    <x v="5"/>
    <s v="Congo"/>
    <x v="0"/>
    <x v="0"/>
    <m/>
  </r>
  <r>
    <x v="200"/>
    <s v="Taxi:Hotel - rafinerie"/>
    <s v="Transport"/>
    <s v="Investigation"/>
    <x v="24"/>
    <x v="608"/>
    <n v="560.94200000000001"/>
    <s v="G12"/>
    <s v="G12-AU-D1"/>
    <s v="PALF"/>
    <x v="5"/>
    <s v="Congo"/>
    <x v="0"/>
    <x v="0"/>
    <m/>
  </r>
  <r>
    <x v="200"/>
    <s v="Achat boisson 1 cible"/>
    <s v="Trust Building"/>
    <s v="Investigation"/>
    <x v="24"/>
    <x v="608"/>
    <n v="560.94200000000001"/>
    <s v="G12"/>
    <s v="G12-AU-D3"/>
    <s v="PALF"/>
    <x v="5"/>
    <s v="Congo"/>
    <x v="0"/>
    <x v="0"/>
    <m/>
  </r>
  <r>
    <x v="200"/>
    <s v="Taxi:Rafinerie - ngoyo"/>
    <s v="Transport"/>
    <s v="Investigation"/>
    <x v="24"/>
    <x v="608"/>
    <n v="560.94200000000001"/>
    <s v="G12"/>
    <s v="G12-AU-D1"/>
    <s v="PALF"/>
    <x v="5"/>
    <s v="Congo"/>
    <x v="0"/>
    <x v="0"/>
    <m/>
  </r>
  <r>
    <x v="200"/>
    <s v="Taxi: Ngoyo - hotel"/>
    <s v="Transport"/>
    <s v="Investigation"/>
    <x v="24"/>
    <x v="608"/>
    <n v="560.94200000000001"/>
    <s v="G12"/>
    <s v="G12-AU-D1"/>
    <s v="PALF"/>
    <x v="5"/>
    <s v="Congo"/>
    <x v="0"/>
    <x v="0"/>
    <m/>
  </r>
  <r>
    <x v="200"/>
    <s v="Taxi: Auberge Moukondo-Maison d'arrêt de Dolisie"/>
    <s v="Transport"/>
    <s v="Legal"/>
    <x v="24"/>
    <x v="608"/>
    <n v="560.94200000000001"/>
    <s v="Abraham"/>
    <s v="AB-AU-D1"/>
    <s v="PALF"/>
    <x v="5"/>
    <s v="Congo"/>
    <x v="0"/>
    <x v="0"/>
    <m/>
  </r>
  <r>
    <x v="200"/>
    <s v="Ration/matin 5 détenus à la maison d'arrêt de Dolisie/ détenus visités: MBOUNGOU Dropsy, KISSAMBOU Yvon, PAMBOU Alain, BALENDA Jean Jacques, IVOUVOU"/>
    <s v="Jail visit"/>
    <s v="Legal"/>
    <x v="55"/>
    <x v="643"/>
    <n v="560.94200000000001"/>
    <s v="Abraham"/>
    <s v="AB-AU-D3"/>
    <s v="PALF"/>
    <x v="5"/>
    <s v="Congo"/>
    <x v="0"/>
    <x v="0"/>
    <m/>
  </r>
  <r>
    <x v="200"/>
    <s v="Taxi:Maison d'arrêt de Dolisie-Auberge Moukondo"/>
    <s v="Transport"/>
    <s v="Legal"/>
    <x v="24"/>
    <x v="608"/>
    <n v="560.94200000000001"/>
    <s v="Abraham"/>
    <s v="AB-AU-D1"/>
    <s v="PALF"/>
    <x v="5"/>
    <s v="Congo"/>
    <x v="0"/>
    <x v="0"/>
    <m/>
  </r>
  <r>
    <x v="200"/>
    <s v="Taxi: Auberge Moukondo-Maison d'arrêt de Dolisie"/>
    <s v="Transport"/>
    <s v="Legal"/>
    <x v="24"/>
    <x v="608"/>
    <n v="560.94200000000001"/>
    <s v="Abraham"/>
    <s v="AB-AU-D1"/>
    <s v="PALF"/>
    <x v="5"/>
    <s v="Congo"/>
    <x v="0"/>
    <x v="0"/>
    <m/>
  </r>
  <r>
    <x v="200"/>
    <s v="Ration/soir 5 détenus à la maison d'arrêt de Dolisie/ détenus visités: MBOUNGOU Dropsy, KISSAMBOU Yvon, PAMBOU Alain, BALENDA Jean Jacques, IVOUVOU"/>
    <s v="Jail visit"/>
    <s v="Legal"/>
    <x v="55"/>
    <x v="643"/>
    <n v="560.94200000000001"/>
    <s v="Abraham"/>
    <s v="AB-AU-D3"/>
    <s v="PALF"/>
    <x v="5"/>
    <s v="Congo"/>
    <x v="0"/>
    <x v="0"/>
    <m/>
  </r>
  <r>
    <x v="200"/>
    <s v="Taxi:Maison d'arrêt de Dolisie-Agence Transbony de Dolisie/Achat billet Dolisie-Brazzaville"/>
    <s v="Transport"/>
    <s v="Legal"/>
    <x v="24"/>
    <x v="608"/>
    <n v="560.94200000000001"/>
    <s v="Abraham"/>
    <s v="AB-AU-D1"/>
    <s v="PALF"/>
    <x v="5"/>
    <s v="Congo"/>
    <x v="0"/>
    <x v="0"/>
    <m/>
  </r>
  <r>
    <x v="200"/>
    <s v="Taxi:Agence Transbony de Dolisie-Auberge Moukondo"/>
    <s v="Transport"/>
    <s v="Legal"/>
    <x v="24"/>
    <x v="608"/>
    <n v="560.94200000000001"/>
    <s v="Abraham"/>
    <s v="AB-AU-D1"/>
    <s v="PALF"/>
    <x v="5"/>
    <s v="Congo"/>
    <x v="0"/>
    <x v="0"/>
    <m/>
  </r>
  <r>
    <x v="200"/>
    <s v="RODERLIN-CONGO Frais d'hôtel du 19 au 21/08/2025 à Sibiti (02 nuitées)"/>
    <s v="Travel Subsistence"/>
    <s v="Legal"/>
    <x v="44"/>
    <x v="645"/>
    <n v="560.94200000000001"/>
    <s v="Roderlin"/>
    <s v="RO-AU-R4"/>
    <s v="PALF"/>
    <x v="5"/>
    <s v="Congo"/>
    <x v="0"/>
    <x v="0"/>
    <m/>
  </r>
  <r>
    <x v="200"/>
    <s v="Taxi-moto:Hôtel le papyrus-La garre de Sibiti"/>
    <s v="Transport"/>
    <s v="Legal"/>
    <x v="294"/>
    <x v="618"/>
    <n v="560.94200000000001"/>
    <s v="Roderlin"/>
    <s v="RO-AU-D1"/>
    <s v="PALF"/>
    <x v="5"/>
    <s v="Congo"/>
    <x v="0"/>
    <x v="0"/>
    <m/>
  </r>
  <r>
    <x v="200"/>
    <s v=" Achat billet Sibiti-Nkayi/ Roderlin"/>
    <s v="Transport"/>
    <s v="Legal"/>
    <x v="31"/>
    <x v="612"/>
    <n v="560.94200000000001"/>
    <s v="Roderlin"/>
    <s v="RO-AU-R5"/>
    <s v="PALF"/>
    <x v="5"/>
    <s v="Congo"/>
    <x v="0"/>
    <x v="0"/>
    <m/>
  </r>
  <r>
    <x v="200"/>
    <s v=" Achat billet Nkayi-Brazzaville/ Roderlin "/>
    <s v="Transport"/>
    <s v="Legal"/>
    <x v="12"/>
    <x v="646"/>
    <n v="560.94200000000001"/>
    <s v="Roderlin"/>
    <s v="RO-AU-R6"/>
    <s v="PALF"/>
    <x v="5"/>
    <s v="Congo"/>
    <x v="0"/>
    <x v="0"/>
    <m/>
  </r>
  <r>
    <x v="200"/>
    <s v="Taxi:Agence trans bony de Kintélé-Domicile "/>
    <s v="Transport"/>
    <s v="Legal"/>
    <x v="24"/>
    <x v="608"/>
    <n v="560.94200000000001"/>
    <s v="Roderlin"/>
    <s v="RO-AU-D1"/>
    <s v="PALF"/>
    <x v="5"/>
    <s v="Congo"/>
    <x v="0"/>
    <x v="0"/>
    <m/>
  </r>
  <r>
    <x v="201"/>
    <s v="Achat billet Dolisie-Brazzaville/Abraham"/>
    <s v="Transport"/>
    <s v="Legal"/>
    <x v="37"/>
    <x v="629"/>
    <n v="560.94200000000001"/>
    <s v="Abraham"/>
    <s v="AB-AU-R4"/>
    <s v="PALF"/>
    <x v="5"/>
    <s v="Congo"/>
    <x v="0"/>
    <x v="0"/>
    <m/>
  </r>
  <r>
    <x v="201"/>
    <s v="Maison-Bureau"/>
    <s v="Transport"/>
    <s v="Management"/>
    <x v="24"/>
    <x v="608"/>
    <n v="560.94200000000001"/>
    <s v="DOVI"/>
    <s v="DH-AU-D1"/>
    <s v="PALF"/>
    <x v="5"/>
    <s v="Congo"/>
    <x v="0"/>
    <x v="0"/>
    <m/>
  </r>
  <r>
    <x v="201"/>
    <s v="Bureau -Maison"/>
    <s v="Transport"/>
    <s v="Management"/>
    <x v="24"/>
    <x v="608"/>
    <n v="560.94200000000001"/>
    <s v="DOVI"/>
    <s v="DH-AU-D1"/>
    <s v="PALF"/>
    <x v="5"/>
    <s v="Congo"/>
    <x v="0"/>
    <x v="0"/>
    <m/>
  </r>
  <r>
    <x v="201"/>
    <s v="Taxi moto: Hôtel Mithé-DDEF pour rencontre avec le DD par intérim"/>
    <s v="Transport"/>
    <s v="Legal"/>
    <x v="294"/>
    <x v="618"/>
    <n v="560.94200000000001"/>
    <s v="Crépin"/>
    <s v="CR-AU-D1"/>
    <s v="PALF"/>
    <x v="5"/>
    <s v="Congo"/>
    <x v="0"/>
    <x v="0"/>
    <m/>
  </r>
  <r>
    <x v="201"/>
    <s v="Taxi moto: DDEF-Parquet pour rencontre avec le Procureur."/>
    <s v="Transport"/>
    <s v="Legal"/>
    <x v="294"/>
    <x v="618"/>
    <n v="560.94200000000001"/>
    <s v="Crépin"/>
    <s v="CR-AU-D1"/>
    <s v="PALF"/>
    <x v="5"/>
    <s v="Congo"/>
    <x v="0"/>
    <x v="0"/>
    <m/>
  </r>
  <r>
    <x v="201"/>
    <s v="Taxi moto: Gendarmerie-Hôtel Mithé"/>
    <s v="Transport"/>
    <s v="Legal"/>
    <x v="294"/>
    <x v="618"/>
    <n v="560.94200000000001"/>
    <s v="Crépin"/>
    <s v="CR-AU-D1"/>
    <s v="PALF"/>
    <x v="5"/>
    <s v="Congo"/>
    <x v="0"/>
    <x v="0"/>
    <m/>
  </r>
  <r>
    <x v="201"/>
    <s v="Taxi:  Bureau-Banque BCI/Appro caisse"/>
    <s v="Transport"/>
    <s v="Office"/>
    <x v="24"/>
    <x v="608"/>
    <n v="560.94200000000001"/>
    <s v="Parfaite"/>
    <s v="P-AU-D1"/>
    <s v="PALF"/>
    <x v="5"/>
    <s v="Congo"/>
    <x v="0"/>
    <x v="0"/>
    <m/>
  </r>
  <r>
    <x v="201"/>
    <s v="Taxi: Banque BCI- Charden farell/ transfert d'argent "/>
    <s v="Transport"/>
    <s v="Office"/>
    <x v="24"/>
    <x v="608"/>
    <n v="560.94200000000001"/>
    <s v="Parfaite"/>
    <s v="P-AU-D1"/>
    <s v="PALF"/>
    <x v="5"/>
    <s v="Congo"/>
    <x v="0"/>
    <x v="0"/>
    <m/>
  </r>
  <r>
    <x v="201"/>
    <s v="Taxi: Charden Farell- Bureau/ Transfert d'argent"/>
    <s v="Transport"/>
    <s v="Office"/>
    <x v="294"/>
    <x v="618"/>
    <n v="560.94200000000001"/>
    <s v="Parfaite"/>
    <s v="P-AU-D1"/>
    <s v="PALF"/>
    <x v="5"/>
    <s v="Congo"/>
    <x v="0"/>
    <x v="0"/>
    <m/>
  </r>
  <r>
    <x v="201"/>
    <s v="Taxi: Bureau - Charden Farell/ verification des fonds envoyer a impfondo"/>
    <s v="Transport"/>
    <s v="Office"/>
    <x v="294"/>
    <x v="618"/>
    <n v="560.94200000000001"/>
    <s v="Parfaite"/>
    <s v="P-AU-D1"/>
    <s v="PALF"/>
    <x v="5"/>
    <s v="Congo"/>
    <x v="0"/>
    <x v="0"/>
    <m/>
  </r>
  <r>
    <x v="201"/>
    <s v="Taxi: Charden Farell- Bureau/verification de fond envoyer à Impfondo"/>
    <s v="Transport"/>
    <s v="Office"/>
    <x v="294"/>
    <x v="618"/>
    <n v="560.94200000000001"/>
    <s v="Parfaite"/>
    <s v="P-AU-D1"/>
    <s v="PALF"/>
    <x v="5"/>
    <s v="Congo"/>
    <x v="0"/>
    <x v="0"/>
    <m/>
  </r>
  <r>
    <x v="201"/>
    <s v="Frais de tansfert d'argent à crépin, Donald-Roméo, Evariste et P29"/>
    <s v="Transfert fees"/>
    <s v="Office"/>
    <x v="312"/>
    <x v="647"/>
    <n v="560.94200000000001"/>
    <s v="Parfaite"/>
    <s v="CA-AU-R8"/>
    <s v="PALF"/>
    <x v="5"/>
    <s v="Congo"/>
    <x v="0"/>
    <x v="0"/>
    <m/>
  </r>
  <r>
    <x v="201"/>
    <s v="Taxi tricycle hotel-cf,retrait des fonds,problème de connexion"/>
    <s v="Transport"/>
    <s v="Investigation"/>
    <x v="24"/>
    <x v="608"/>
    <n v="560.94200000000001"/>
    <s v="P29"/>
    <s v="P29-AU-D1"/>
    <s v="PALF"/>
    <x v="5"/>
    <s v="Congo"/>
    <x v="0"/>
    <x v="0"/>
    <m/>
  </r>
  <r>
    <x v="201"/>
    <s v="Taxi tricycle cf-hotel"/>
    <s v="Transport"/>
    <s v="Investigation"/>
    <x v="24"/>
    <x v="608"/>
    <n v="560.94200000000001"/>
    <s v="P29"/>
    <s v="P29-AU-D1"/>
    <s v="PALF"/>
    <x v="5"/>
    <s v="Congo"/>
    <x v="0"/>
    <x v="0"/>
    <m/>
  </r>
  <r>
    <x v="201"/>
    <s v="Taxi tricycle hotel-cf,retrait des fonds"/>
    <s v="Transport"/>
    <s v="Investigation"/>
    <x v="24"/>
    <x v="608"/>
    <n v="560.94200000000001"/>
    <s v="P29"/>
    <s v="P29-AU-D1"/>
    <s v="PALF"/>
    <x v="5"/>
    <s v="Congo"/>
    <x v="0"/>
    <x v="0"/>
    <m/>
  </r>
  <r>
    <x v="201"/>
    <s v="Taxi tricycle cf-hotel"/>
    <s v="Transport"/>
    <s v="Investigation"/>
    <x v="24"/>
    <x v="608"/>
    <n v="560.94200000000001"/>
    <s v="P29"/>
    <s v="P29-AU-D1"/>
    <s v="PALF"/>
    <x v="5"/>
    <s v="Congo"/>
    <x v="0"/>
    <x v="0"/>
    <m/>
  </r>
  <r>
    <x v="201"/>
    <s v="Taxi moto hotel kb fils-hotel mithe,travail avec l'équipe"/>
    <s v="Transport"/>
    <s v="Investigation"/>
    <x v="294"/>
    <x v="618"/>
    <n v="560.94200000000001"/>
    <s v="P29"/>
    <s v="P29-AU-D1"/>
    <s v="PALF"/>
    <x v="5"/>
    <s v="Congo"/>
    <x v="0"/>
    <x v="0"/>
    <m/>
  </r>
  <r>
    <x v="201"/>
    <s v="Taxi tricycle hotel mithe-hotel kb fils"/>
    <s v="Transport"/>
    <s v="Investigation"/>
    <x v="24"/>
    <x v="608"/>
    <n v="560.94200000000001"/>
    <s v="P29"/>
    <s v="P29-AU-D1"/>
    <s v="PALF"/>
    <x v="5"/>
    <s v="Congo"/>
    <x v="0"/>
    <x v="0"/>
    <m/>
  </r>
  <r>
    <x v="201"/>
    <s v="Taxi moto hotel kb fils-hotel mithe,travail avec l'équipe"/>
    <s v="Transport"/>
    <s v="Investigation"/>
    <x v="294"/>
    <x v="618"/>
    <n v="560.94200000000001"/>
    <s v="P29"/>
    <s v="P29-AU-D1"/>
    <s v="PALF"/>
    <x v="5"/>
    <s v="Congo"/>
    <x v="0"/>
    <x v="0"/>
    <m/>
  </r>
  <r>
    <x v="201"/>
    <s v="Taxi tricycle hotel mithe-hotel kb fils"/>
    <s v="Transport"/>
    <s v="Investigation"/>
    <x v="24"/>
    <x v="608"/>
    <n v="560.94200000000001"/>
    <s v="P29"/>
    <s v="P29-AU-D1"/>
    <s v="PALF"/>
    <x v="5"/>
    <s v="Congo"/>
    <x v="0"/>
    <x v="0"/>
    <m/>
  </r>
  <r>
    <x v="201"/>
    <s v="Taxi moto : hotel KB fils - hotel mithe (reunion avec l'équipe)"/>
    <s v="Transport"/>
    <s v="Investigation"/>
    <x v="294"/>
    <x v="618"/>
    <n v="560.94200000000001"/>
    <s v="T73"/>
    <s v="T73-AU-D1"/>
    <s v="PALF"/>
    <x v="5"/>
    <s v="Congo"/>
    <x v="0"/>
    <x v="0"/>
    <m/>
  </r>
  <r>
    <x v="201"/>
    <s v="Taxi moto : hotel mithe - KB fils  (reunion avec l'équipe)"/>
    <s v="Transport"/>
    <s v="Investigation"/>
    <x v="294"/>
    <x v="618"/>
    <n v="560.94200000000001"/>
    <s v="T73"/>
    <s v="T73-AU-D1"/>
    <s v="PALF"/>
    <x v="5"/>
    <s v="Congo"/>
    <x v="0"/>
    <x v="0"/>
    <m/>
  </r>
  <r>
    <x v="201"/>
    <s v="Taxi moto : Hôtel - N2/ Prospection"/>
    <s v="Transport"/>
    <s v="Investigation"/>
    <x v="294"/>
    <x v="618"/>
    <n v="560.94200000000001"/>
    <s v="IT87"/>
    <s v="IT87-AU-D1"/>
    <s v="PALF"/>
    <x v="5"/>
    <s v="Congo"/>
    <x v="0"/>
    <x v="0"/>
    <m/>
  </r>
  <r>
    <x v="201"/>
    <s v="Taxi moto : N2 - Marché/ Rencontre avec la cible"/>
    <s v="Transport"/>
    <s v="Investigation"/>
    <x v="294"/>
    <x v="618"/>
    <n v="560.94200000000001"/>
    <s v="IT87"/>
    <s v="IT87-AU-D1"/>
    <s v="PALF"/>
    <x v="5"/>
    <s v="Congo"/>
    <x v="0"/>
    <x v="0"/>
    <m/>
  </r>
  <r>
    <x v="201"/>
    <s v="Achat snacks avec la cible"/>
    <s v="Trust Building"/>
    <s v="Investigation"/>
    <x v="70"/>
    <x v="615"/>
    <n v="560.94200000000001"/>
    <s v="IT87"/>
    <s v="IT87-AU-D3"/>
    <s v="PALF"/>
    <x v="5"/>
    <s v="Congo"/>
    <x v="0"/>
    <x v="0"/>
    <m/>
  </r>
  <r>
    <x v="201"/>
    <s v="Taxi moto : Marché - Avenue Omiere/ Prospection"/>
    <s v="Transport"/>
    <s v="Investigation"/>
    <x v="294"/>
    <x v="618"/>
    <n v="560.94200000000001"/>
    <s v="IT87"/>
    <s v="IT87-AU-D1"/>
    <s v="PALF"/>
    <x v="5"/>
    <s v="Congo"/>
    <x v="0"/>
    <x v="0"/>
    <m/>
  </r>
  <r>
    <x v="201"/>
    <s v="Taxi moto : Avenue Omiere - Ecole primaire/ Prospection"/>
    <s v="Transport"/>
    <s v="Investigation"/>
    <x v="294"/>
    <x v="618"/>
    <n v="560.94200000000001"/>
    <s v="IT87"/>
    <s v="IT87-AU-D1"/>
    <s v="PALF"/>
    <x v="5"/>
    <s v="Congo"/>
    <x v="0"/>
    <x v="0"/>
    <m/>
  </r>
  <r>
    <x v="201"/>
    <s v="Taxi moto : Ecole primaire Joseph - Hôtel/ Retour de prospection"/>
    <s v="Transport"/>
    <s v="Investigation"/>
    <x v="294"/>
    <x v="618"/>
    <n v="560.94200000000001"/>
    <s v="IT87"/>
    <s v="IT87-AU-D1"/>
    <s v="PALF"/>
    <x v="5"/>
    <s v="Congo"/>
    <x v="0"/>
    <x v="0"/>
    <m/>
  </r>
  <r>
    <x v="201"/>
    <s v="Taxi: Hotel -gare routière"/>
    <s v="Transport"/>
    <s v="Investigation"/>
    <x v="24"/>
    <x v="608"/>
    <n v="560.94200000000001"/>
    <s v="G12"/>
    <s v="G12-AU-D1"/>
    <s v="PALF"/>
    <x v="5"/>
    <s v="Congo"/>
    <x v="0"/>
    <x v="0"/>
    <m/>
  </r>
  <r>
    <x v="201"/>
    <s v="G12- CONGO Achat billet Pointe Noire - Nzassi "/>
    <s v="Transport"/>
    <s v="Investigation"/>
    <x v="67"/>
    <x v="644"/>
    <n v="560.94200000000001"/>
    <s v="G12"/>
    <s v="G12-AU-R5"/>
    <s v="PALF"/>
    <x v="5"/>
    <s v="Congo"/>
    <x v="0"/>
    <x v="0"/>
    <m/>
  </r>
  <r>
    <x v="201"/>
    <s v="Taxi : gare routière - zone de l'hopital"/>
    <s v="Transport"/>
    <s v="Investigation"/>
    <x v="294"/>
    <x v="618"/>
    <n v="560.94200000000001"/>
    <s v="G12"/>
    <s v="G12-AU-D1"/>
    <s v="PALF"/>
    <x v="5"/>
    <s v="Congo"/>
    <x v="0"/>
    <x v="0"/>
    <m/>
  </r>
  <r>
    <x v="201"/>
    <s v="Taxi : Hopital- marché"/>
    <s v="Transport"/>
    <s v="Investigation"/>
    <x v="294"/>
    <x v="618"/>
    <n v="560.94200000000001"/>
    <s v="G12"/>
    <s v="G12-AU-D1"/>
    <s v="PALF"/>
    <x v="5"/>
    <s v="Congo"/>
    <x v="0"/>
    <x v="0"/>
    <m/>
  </r>
  <r>
    <x v="201"/>
    <s v="Achat boisson 1 cible"/>
    <s v="Trust Building"/>
    <s v="Investigation"/>
    <x v="24"/>
    <x v="608"/>
    <n v="560.94200000000001"/>
    <s v="G12"/>
    <s v="G12-AU-D3"/>
    <s v="PALF"/>
    <x v="5"/>
    <s v="Congo"/>
    <x v="0"/>
    <x v="0"/>
    <m/>
  </r>
  <r>
    <x v="201"/>
    <s v="Taxi: Marché - gare routière "/>
    <s v="Transport"/>
    <s v="Investigation"/>
    <x v="294"/>
    <x v="618"/>
    <n v="560.94200000000001"/>
    <s v="G12"/>
    <s v="G12-AU-D1"/>
    <s v="PALF"/>
    <x v="5"/>
    <s v="Congo"/>
    <x v="0"/>
    <x v="0"/>
    <m/>
  </r>
  <r>
    <x v="201"/>
    <s v="G12-CONGO Achat billet Nzassi - Pointe Noire"/>
    <s v="Transport"/>
    <s v="Investigation"/>
    <x v="67"/>
    <x v="644"/>
    <n v="560.94200000000001"/>
    <s v="G12"/>
    <s v="G12-AU-R6"/>
    <s v="PALF"/>
    <x v="5"/>
    <s v="Congo"/>
    <x v="0"/>
    <x v="0"/>
    <m/>
  </r>
  <r>
    <x v="201"/>
    <s v="Taxi: gare routière - hotel"/>
    <s v="Transport"/>
    <s v="Investigation"/>
    <x v="294"/>
    <x v="618"/>
    <n v="560.94200000000001"/>
    <s v="G12"/>
    <s v="G12-AU-D1"/>
    <s v="PALF"/>
    <x v="5"/>
    <s v="Congo"/>
    <x v="0"/>
    <x v="0"/>
    <m/>
  </r>
  <r>
    <x v="201"/>
    <s v="ABRAHAM - CONGO frais d'Hôtel du 20 au 22/08/2025 à Dolisie (02 Nuitées)"/>
    <s v="Travel Subsistence"/>
    <s v="Legal"/>
    <x v="44"/>
    <x v="645"/>
    <n v="560.94200000000001"/>
    <s v="Abraham"/>
    <s v="AB-AU-R5"/>
    <s v="PALF"/>
    <x v="5"/>
    <s v="Congo"/>
    <x v="0"/>
    <x v="0"/>
    <m/>
  </r>
  <r>
    <x v="201"/>
    <s v="Taxi:Auberge Moukondo-Agence Transbony Dolisie"/>
    <s v="Transport"/>
    <s v="Legal"/>
    <x v="24"/>
    <x v="608"/>
    <n v="560.94200000000001"/>
    <s v="Abraham"/>
    <s v="AB-AU-D1"/>
    <s v="PALF"/>
    <x v="5"/>
    <s v="Congo"/>
    <x v="0"/>
    <x v="0"/>
    <m/>
  </r>
  <r>
    <x v="201"/>
    <s v="Taxi:Agence Transbony Moungali-Domicile"/>
    <s v="Transport"/>
    <s v="Legal"/>
    <x v="70"/>
    <x v="615"/>
    <n v="560.94200000000001"/>
    <s v="Abraham"/>
    <s v="AB-AU-D1"/>
    <s v="PALF"/>
    <x v="5"/>
    <s v="Congo"/>
    <x v="0"/>
    <x v="0"/>
    <m/>
  </r>
  <r>
    <x v="201"/>
    <s v="Achat carburant groupe electrogène Bureau et le frais de recharge"/>
    <s v="Office Materiels"/>
    <s v="Office"/>
    <x v="313"/>
    <x v="648"/>
    <n v="560.94200000000001"/>
    <s v="Roderlin"/>
    <s v="CA-AU-R7"/>
    <s v="PALF"/>
    <x v="5"/>
    <s v="Congo"/>
    <x v="0"/>
    <x v="0"/>
    <m/>
  </r>
  <r>
    <x v="201"/>
    <s v="Taxi moto Hôtel-DDEF/ Rencontrer le DD"/>
    <s v="Transport "/>
    <s v="Legal"/>
    <x v="294"/>
    <x v="618"/>
    <n v="560.94200000000001"/>
    <s v="Donald-Romeo"/>
    <s v="DR-AU-D1"/>
    <s v="PALF"/>
    <x v="5"/>
    <s v="Congo"/>
    <x v="0"/>
    <x v="0"/>
    <m/>
  </r>
  <r>
    <x v="201"/>
    <s v="Taxi moto DDEF-TGI/ Rencontrer le Procureur "/>
    <s v="Transport "/>
    <s v="Legal"/>
    <x v="294"/>
    <x v="618"/>
    <n v="560.94200000000001"/>
    <s v="Donald-Romeo"/>
    <s v="DR-AU-D1"/>
    <s v="PALF"/>
    <x v="5"/>
    <s v="Congo"/>
    <x v="0"/>
    <x v="0"/>
    <m/>
  </r>
  <r>
    <x v="201"/>
    <s v="Taxi moto Région de gendarmerie-Hôtel Mithé"/>
    <s v="Transport "/>
    <s v="Legal"/>
    <x v="294"/>
    <x v="618"/>
    <n v="560.94200000000001"/>
    <s v="Donald-Romeo"/>
    <s v="DR-AU-D1"/>
    <s v="PALF"/>
    <x v="5"/>
    <s v="Congo"/>
    <x v="0"/>
    <x v="0"/>
    <m/>
  </r>
  <r>
    <x v="201"/>
    <s v="Taxi: Bureau-Charden Farell(Pour le transfert d'argent)"/>
    <s v="Transport"/>
    <s v="Legal"/>
    <x v="294"/>
    <x v="618"/>
    <n v="560.94200000000001"/>
    <s v="Romain"/>
    <s v="RM-AU-D1"/>
    <s v="PALF"/>
    <x v="5"/>
    <s v="Congo"/>
    <x v="0"/>
    <x v="0"/>
    <m/>
  </r>
  <r>
    <x v="201"/>
    <s v="Taxi: Charden Farell-Bureau"/>
    <s v="Transport"/>
    <s v="Legal"/>
    <x v="294"/>
    <x v="618"/>
    <n v="560.94200000000001"/>
    <s v="Romain"/>
    <s v="RM-AU-D1"/>
    <s v="PALF"/>
    <x v="5"/>
    <s v="Congo"/>
    <x v="0"/>
    <x v="0"/>
    <m/>
  </r>
  <r>
    <x v="201"/>
    <s v="Paiement Honoraire Me LOCKO/Mois de Juin 2025/36544889"/>
    <s v="Lawyer Fees"/>
    <s v="Legal"/>
    <x v="11"/>
    <x v="649"/>
    <n v="560.94200000000001"/>
    <s v="BCI"/>
    <s v="BQ-AU-R7"/>
    <s v="PALF"/>
    <x v="5"/>
    <s v="Congo"/>
    <x v="0"/>
    <x v="0"/>
    <m/>
  </r>
  <r>
    <x v="202"/>
    <s v="Maison-Bureau"/>
    <s v="Transport"/>
    <s v="Management"/>
    <x v="24"/>
    <x v="608"/>
    <n v="560.94200000000001"/>
    <s v="DOVI"/>
    <s v="DH-AU-D1"/>
    <s v="PALF"/>
    <x v="5"/>
    <s v="Congo"/>
    <x v="0"/>
    <x v="0"/>
    <m/>
  </r>
  <r>
    <x v="202"/>
    <s v="Bureau-Maison"/>
    <s v="Transport"/>
    <s v="Management"/>
    <x v="24"/>
    <x v="608"/>
    <n v="560.94200000000001"/>
    <s v="DOVI"/>
    <s v="DH-AU-D1"/>
    <s v="PALF"/>
    <x v="5"/>
    <s v="Congo"/>
    <x v="0"/>
    <x v="0"/>
    <m/>
  </r>
  <r>
    <x v="202"/>
    <s v="Taxi moto: Hôtel Mithé-Hôtel Tropicana pour repérage"/>
    <s v="Transport"/>
    <s v="Legal"/>
    <x v="294"/>
    <x v="618"/>
    <n v="560.94200000000001"/>
    <s v="Crépin"/>
    <s v="CR-AU-D1"/>
    <s v="PALF"/>
    <x v="5"/>
    <s v="Congo"/>
    <x v="0"/>
    <x v="0"/>
    <m/>
  </r>
  <r>
    <x v="202"/>
    <s v="Taxi moto: Environs Hôtel Tropicana-DDEF pour la lettre de sollicitude de concours de la gendarmerie"/>
    <s v="Transport"/>
    <s v="Legal"/>
    <x v="294"/>
    <x v="618"/>
    <n v="560.94200000000001"/>
    <s v="Crépin"/>
    <s v="CR-AU-D1"/>
    <s v="PALF"/>
    <x v="5"/>
    <s v="Congo"/>
    <x v="0"/>
    <x v="0"/>
    <m/>
  </r>
  <r>
    <x v="202"/>
    <s v="Taxi moto: DDEF-Gendarmerie pour dépôt de la demande de concours"/>
    <s v="Transport"/>
    <s v="Legal"/>
    <x v="294"/>
    <x v="618"/>
    <n v="560.94200000000001"/>
    <s v="Crépin"/>
    <s v="CR-AU-D1"/>
    <s v="PALF"/>
    <x v="5"/>
    <s v="Congo"/>
    <x v="0"/>
    <x v="0"/>
    <m/>
  </r>
  <r>
    <x v="202"/>
    <s v="Taxi moto: Gendarmerie-Hôtel Mithé"/>
    <s v="Transport"/>
    <s v="Legal"/>
    <x v="294"/>
    <x v="618"/>
    <n v="560.94200000000001"/>
    <s v="Crépin"/>
    <s v="CR-AU-D1"/>
    <s v="PALF"/>
    <x v="5"/>
    <s v="Congo"/>
    <x v="0"/>
    <x v="0"/>
    <m/>
  </r>
  <r>
    <x v="202"/>
    <s v="CREPIN-CONGO Frais d'hôtel du 16 au 23/08/2025 à Impfondo (07 Nuitées)"/>
    <s v="Travel Subsistence"/>
    <s v="Legal"/>
    <x v="46"/>
    <x v="650"/>
    <n v="560.94200000000001"/>
    <s v="Crépin"/>
    <s v="CR-AU-R1-7"/>
    <s v="PALF"/>
    <x v="5"/>
    <s v="Congo"/>
    <x v="0"/>
    <x v="0"/>
    <m/>
  </r>
  <r>
    <x v="202"/>
    <s v="Taxi moto: Hôtel Mithé-Hôtel Tropicana pour occupation de la chambre pour opération"/>
    <s v="Transport"/>
    <s v="Legal"/>
    <x v="294"/>
    <x v="618"/>
    <n v="560.94200000000001"/>
    <s v="Crépin"/>
    <s v="CR-AU-D1"/>
    <s v="PALF"/>
    <x v="5"/>
    <s v="Congo"/>
    <x v="0"/>
    <x v="0"/>
    <m/>
  </r>
  <r>
    <x v="202"/>
    <s v="Taxi tricycle hotel kb fils-hotel tropicana,réservation chambre op"/>
    <s v="Transport"/>
    <s v="Investigation"/>
    <x v="24"/>
    <x v="608"/>
    <n v="560.94200000000001"/>
    <s v="P29"/>
    <s v="P29-AU-D1"/>
    <s v="PALF"/>
    <x v="5"/>
    <s v="Congo"/>
    <x v="0"/>
    <x v="0"/>
    <m/>
  </r>
  <r>
    <x v="202"/>
    <s v="Taxi tricycle hotel tropicana-hotel kb fils"/>
    <s v="Transport"/>
    <s v="Investigation"/>
    <x v="24"/>
    <x v="608"/>
    <n v="560.94200000000001"/>
    <s v="P29"/>
    <s v="P29-AU-D1"/>
    <s v="PALF"/>
    <x v="5"/>
    <s v="Congo"/>
    <x v="0"/>
    <x v="0"/>
    <m/>
  </r>
  <r>
    <x v="202"/>
    <s v="Taxi moto hotel kb fils-hotel mithe,travail avec l'équipe"/>
    <s v="Transport"/>
    <s v="Investigation"/>
    <x v="294"/>
    <x v="618"/>
    <n v="560.94200000000001"/>
    <s v="P29"/>
    <s v="P29-AU-D1"/>
    <s v="PALF"/>
    <x v="5"/>
    <s v="Congo"/>
    <x v="0"/>
    <x v="0"/>
    <m/>
  </r>
  <r>
    <x v="202"/>
    <s v="Taxi tricycle hotel mithe-hotel kb fils"/>
    <s v="Transport"/>
    <s v="Investigation"/>
    <x v="24"/>
    <x v="608"/>
    <n v="560.94200000000001"/>
    <s v="P29"/>
    <s v="P29-AU-D1"/>
    <s v="PALF"/>
    <x v="5"/>
    <s v="Congo"/>
    <x v="0"/>
    <x v="0"/>
    <m/>
  </r>
  <r>
    <x v="202"/>
    <s v="Taxi moto hotel kb fils-hotel mithe,travail avec l'équipe"/>
    <s v="Transport"/>
    <s v="Investigation"/>
    <x v="294"/>
    <x v="618"/>
    <n v="560.94200000000001"/>
    <s v="P29"/>
    <s v="P29-AU-D1"/>
    <s v="PALF"/>
    <x v="5"/>
    <s v="Congo"/>
    <x v="0"/>
    <x v="0"/>
    <m/>
  </r>
  <r>
    <x v="202"/>
    <s v="Taxi tricycle hotel mithe-hotel kb fils"/>
    <s v="Transport"/>
    <s v="Investigation"/>
    <x v="24"/>
    <x v="608"/>
    <n v="560.94200000000001"/>
    <s v="P29"/>
    <s v="P29-AU-D1"/>
    <s v="PALF"/>
    <x v="5"/>
    <s v="Congo"/>
    <x v="0"/>
    <x v="0"/>
    <m/>
  </r>
  <r>
    <x v="202"/>
    <s v="Taxi moto : hotel KB fils - hotel tropicana(lieu OP)"/>
    <s v="Transport"/>
    <s v="Investigation"/>
    <x v="294"/>
    <x v="618"/>
    <n v="560.94200000000001"/>
    <s v="T73"/>
    <s v="T73-AU-D1"/>
    <s v="PALF"/>
    <x v="5"/>
    <s v="Congo"/>
    <x v="0"/>
    <x v="0"/>
    <m/>
  </r>
  <r>
    <x v="202"/>
    <s v="Taxi moto : hotel tropicana - centre ville (rendez vous avec la cible)"/>
    <s v="Transport"/>
    <s v="Investigation"/>
    <x v="294"/>
    <x v="618"/>
    <n v="560.94200000000001"/>
    <s v="T73"/>
    <s v="T73-AU-D1"/>
    <s v="PALF"/>
    <x v="5"/>
    <s v="Congo"/>
    <x v="0"/>
    <x v="0"/>
    <m/>
  </r>
  <r>
    <x v="202"/>
    <s v="Taxi moto : centre ville - zone stade (extraction)"/>
    <s v="Transport"/>
    <s v="Investigation"/>
    <x v="294"/>
    <x v="618"/>
    <n v="560.94200000000001"/>
    <s v="T73"/>
    <s v="T73-AU-D1"/>
    <s v="PALF"/>
    <x v="5"/>
    <s v="Congo"/>
    <x v="0"/>
    <x v="0"/>
    <m/>
  </r>
  <r>
    <x v="202"/>
    <s v="Taxi moto : zone stade - zone hopital (extraction)"/>
    <s v="Transport"/>
    <s v="Investigation"/>
    <x v="294"/>
    <x v="618"/>
    <n v="560.94200000000001"/>
    <s v="T73"/>
    <s v="T73-AU-D1"/>
    <s v="PALF"/>
    <x v="5"/>
    <s v="Congo"/>
    <x v="0"/>
    <x v="0"/>
    <m/>
  </r>
  <r>
    <x v="202"/>
    <s v="Taxi moto : zone hopital - l'hotel tropicana (extraction)"/>
    <s v="Transport"/>
    <s v="Investigation"/>
    <x v="294"/>
    <x v="618"/>
    <n v="560.94200000000001"/>
    <s v="T73"/>
    <s v="T73-AU-D1"/>
    <s v="PALF"/>
    <x v="5"/>
    <s v="Congo"/>
    <x v="0"/>
    <x v="0"/>
    <m/>
  </r>
  <r>
    <x v="202"/>
    <s v="T73 - CONGO Frais d'hotel du 16 au 23/08/2025 à Impfondo (07 Nuitées)"/>
    <s v="Travel Subsistence"/>
    <s v="Investigation"/>
    <x v="46"/>
    <x v="650"/>
    <n v="560.94200000000001"/>
    <s v="T73"/>
    <s v="T73-AU-R9"/>
    <s v="PALF"/>
    <x v="5"/>
    <s v="Congo"/>
    <x v="0"/>
    <x v="0"/>
    <m/>
  </r>
  <r>
    <x v="202"/>
    <s v="IT87-CONGO Frais d'hôtel  du 21 au 23/08/2025 à Ngo (02 nuitées)"/>
    <s v="Travel Subsistence"/>
    <s v="Investigation"/>
    <x v="44"/>
    <x v="645"/>
    <n v="560.94200000000001"/>
    <s v="IT87"/>
    <s v="IT87-AU-R7"/>
    <s v="PALF"/>
    <x v="5"/>
    <s v="Congo"/>
    <x v="0"/>
    <x v="0"/>
    <m/>
  </r>
  <r>
    <x v="202"/>
    <s v="Taxi moto : Hôtel - Parking/ Départ de Ngo pour Inoni"/>
    <s v="Transport"/>
    <s v="Investigation"/>
    <x v="294"/>
    <x v="618"/>
    <n v="560.94200000000001"/>
    <s v="IT87"/>
    <s v="IT87-AU-D1"/>
    <s v="PALF"/>
    <x v="5"/>
    <s v="Congo"/>
    <x v="0"/>
    <x v="0"/>
    <m/>
  </r>
  <r>
    <x v="202"/>
    <s v="Achat billet Ngo - Inoni/ IT87"/>
    <s v="Transport"/>
    <s v="Investigation"/>
    <x v="31"/>
    <x v="612"/>
    <n v="560.94200000000001"/>
    <s v="IT87"/>
    <s v="IT87-AU-R8"/>
    <s v="PALF"/>
    <x v="5"/>
    <s v="Congo"/>
    <x v="0"/>
    <x v="0"/>
    <m/>
  </r>
  <r>
    <x v="202"/>
    <s v="Taxi moto : Parking - Hôtel Paulina/ Arrivé à Inoni"/>
    <s v="Transport"/>
    <s v="Investigation"/>
    <x v="294"/>
    <x v="618"/>
    <n v="560.94200000000001"/>
    <s v="IT87"/>
    <s v="IT87-AU-D1"/>
    <s v="PALF"/>
    <x v="5"/>
    <s v="Congo"/>
    <x v="0"/>
    <x v="0"/>
    <m/>
  </r>
  <r>
    <x v="202"/>
    <s v="Taxi moto : Hôtel - Ecole primaire de Inoni/ Prospection"/>
    <s v="Transport"/>
    <s v="Investigation"/>
    <x v="294"/>
    <x v="618"/>
    <n v="560.94200000000001"/>
    <s v="IT87"/>
    <s v="IT87-AU-D1"/>
    <s v="PALF"/>
    <x v="5"/>
    <s v="Congo"/>
    <x v="0"/>
    <x v="0"/>
    <m/>
  </r>
  <r>
    <x v="202"/>
    <s v="Taxi moto : Ecole primaire d'Inoni - Centre/ Prospection"/>
    <s v="Transport"/>
    <s v="Investigation"/>
    <x v="294"/>
    <x v="618"/>
    <n v="560.94200000000001"/>
    <s v="IT87"/>
    <s v="IT87-AU-D1"/>
    <s v="PALF"/>
    <x v="5"/>
    <s v="Congo"/>
    <x v="0"/>
    <x v="0"/>
    <m/>
  </r>
  <r>
    <x v="202"/>
    <s v="Taxi moto : Centre - Hôtel/ Retour de prospection"/>
    <s v="Transport"/>
    <s v="Investigation"/>
    <x v="294"/>
    <x v="618"/>
    <n v="560.94200000000001"/>
    <s v="IT87"/>
    <s v="IT87-AU-D1"/>
    <s v="PALF"/>
    <x v="5"/>
    <s v="Congo"/>
    <x v="0"/>
    <x v="0"/>
    <m/>
  </r>
  <r>
    <x v="202"/>
    <s v="Taxi :Hotel - gare routière"/>
    <s v="Transport"/>
    <s v="Investigation"/>
    <x v="294"/>
    <x v="618"/>
    <n v="560.94200000000001"/>
    <s v="G12"/>
    <s v="G12-AU-D1"/>
    <s v="PALF"/>
    <x v="5"/>
    <s v="Congo"/>
    <x v="0"/>
    <x v="0"/>
    <m/>
  </r>
  <r>
    <x v="202"/>
    <s v="G12-CONGO Achat billet Pointe Noire - Hinda"/>
    <s v="Transport"/>
    <s v="Investigation"/>
    <x v="101"/>
    <x v="638"/>
    <n v="560.94200000000001"/>
    <s v="G12"/>
    <s v="G12-AU-R7"/>
    <s v="PALF"/>
    <x v="5"/>
    <s v="Congo"/>
    <x v="0"/>
    <x v="0"/>
    <m/>
  </r>
  <r>
    <x v="202"/>
    <s v="Taxi:Gare routière - zone de la préfecture"/>
    <s v="Transport"/>
    <s v="Investigation"/>
    <x v="294"/>
    <x v="618"/>
    <n v="560.94200000000001"/>
    <s v="G12"/>
    <s v="G12-AU-D1"/>
    <s v="PALF"/>
    <x v="5"/>
    <s v="Congo"/>
    <x v="0"/>
    <x v="0"/>
    <m/>
  </r>
  <r>
    <x v="202"/>
    <s v="Achat boisson 1 cible"/>
    <s v="Trust Building"/>
    <s v="Investigation"/>
    <x v="24"/>
    <x v="608"/>
    <n v="560.94200000000001"/>
    <s v="G12"/>
    <s v="G12-AU-D3"/>
    <s v="PALF"/>
    <x v="5"/>
    <s v="Congo"/>
    <x v="0"/>
    <x v="0"/>
    <m/>
  </r>
  <r>
    <x v="202"/>
    <s v="Taxi:Zone de préfecture - marché"/>
    <s v="Transport"/>
    <s v="Investigation"/>
    <x v="294"/>
    <x v="618"/>
    <n v="560.94200000000001"/>
    <s v="G12"/>
    <s v="G12-AU-D1"/>
    <s v="PALF"/>
    <x v="5"/>
    <s v="Congo"/>
    <x v="0"/>
    <x v="0"/>
    <m/>
  </r>
  <r>
    <x v="202"/>
    <s v="Taxi : Marché -gare routière"/>
    <s v="Transport"/>
    <s v="Investigation"/>
    <x v="294"/>
    <x v="618"/>
    <n v="560.94200000000001"/>
    <s v="G12"/>
    <s v="G12-AU-D1"/>
    <s v="PALF"/>
    <x v="5"/>
    <s v="Congo"/>
    <x v="0"/>
    <x v="0"/>
    <m/>
  </r>
  <r>
    <x v="202"/>
    <s v="G12-CONGO Achat billet Hinda -Pointe Noire"/>
    <s v="Transport"/>
    <s v="Investigation"/>
    <x v="101"/>
    <x v="638"/>
    <n v="560.94200000000001"/>
    <s v="G12"/>
    <s v="G12-AU-R8"/>
    <s v="PALF"/>
    <x v="5"/>
    <s v="Congo"/>
    <x v="0"/>
    <x v="0"/>
    <m/>
  </r>
  <r>
    <x v="202"/>
    <s v="Taxi: Gare routière -agence trans bony"/>
    <s v="Transport"/>
    <s v="Investigation"/>
    <x v="24"/>
    <x v="608"/>
    <n v="560.94200000000001"/>
    <s v="G12"/>
    <s v="G12-AU-D1"/>
    <s v="PALF"/>
    <x v="5"/>
    <s v="Congo"/>
    <x v="0"/>
    <x v="0"/>
    <m/>
  </r>
  <r>
    <x v="202"/>
    <s v="G12-CONGO Achat billet Pointe Noire- Brazzaville"/>
    <s v="Transport"/>
    <s v="Investigation"/>
    <x v="45"/>
    <x v="627"/>
    <n v="560.94200000000001"/>
    <s v="G12"/>
    <s v="G12-AU-R9"/>
    <s v="PALF"/>
    <x v="5"/>
    <s v="Congo"/>
    <x v="0"/>
    <x v="0"/>
    <m/>
  </r>
  <r>
    <x v="202"/>
    <s v="Taxi : Agence - hotel"/>
    <s v="Transport"/>
    <s v="Investigation"/>
    <x v="24"/>
    <x v="608"/>
    <n v="560.94200000000001"/>
    <s v="G12"/>
    <s v="G12-AU-D1"/>
    <s v="PALF"/>
    <x v="5"/>
    <s v="Congo"/>
    <x v="0"/>
    <x v="0"/>
    <m/>
  </r>
  <r>
    <x v="202"/>
    <s v="Taxi moto Hôtel Mithé- Hôtel Tropicana/ Reperage"/>
    <s v="Transport "/>
    <s v="Legal"/>
    <x v="294"/>
    <x v="618"/>
    <n v="560.94200000000001"/>
    <s v="Donald-Romeo"/>
    <s v="DR-AU-D1"/>
    <s v="PALF"/>
    <x v="5"/>
    <s v="Congo"/>
    <x v="0"/>
    <x v="0"/>
    <m/>
  </r>
  <r>
    <x v="202"/>
    <s v="Taxi moto Hôtel Tropicana- Aeroport d'Impfondo"/>
    <s v="Transport "/>
    <s v="Legal"/>
    <x v="294"/>
    <x v="618"/>
    <n v="560.94200000000001"/>
    <s v="Donald-Romeo"/>
    <s v="DR-AU-D1"/>
    <s v="PALF"/>
    <x v="5"/>
    <s v="Congo"/>
    <x v="0"/>
    <x v="0"/>
    <m/>
  </r>
  <r>
    <x v="202"/>
    <s v="Taxi moto Aeroport d'Impfondo-Charden farell/ Retrait des fonds"/>
    <s v="Transport "/>
    <s v="Legal"/>
    <x v="294"/>
    <x v="618"/>
    <n v="560.94200000000001"/>
    <s v="Donald-Romeo"/>
    <s v="DR-AU-D1"/>
    <s v="PALF"/>
    <x v="5"/>
    <s v="Congo"/>
    <x v="0"/>
    <x v="0"/>
    <m/>
  </r>
  <r>
    <x v="202"/>
    <s v="Taxi Charden farell-Hôtel Mithé"/>
    <s v="Transport "/>
    <s v="Legal"/>
    <x v="294"/>
    <x v="618"/>
    <n v="560.94200000000001"/>
    <s v="Donald-Romeo"/>
    <s v="DR-AU-D1"/>
    <s v="PALF"/>
    <x v="5"/>
    <s v="Congo"/>
    <x v="0"/>
    <x v="0"/>
    <m/>
  </r>
  <r>
    <x v="202"/>
    <s v="Taxi moto, Hôtel Mithé2-les environs de l'hôtel Tropicana"/>
    <s v="Transport"/>
    <s v="Media"/>
    <x v="294"/>
    <x v="618"/>
    <n v="560.94200000000001"/>
    <s v="Evariste"/>
    <s v="EV-AU-D1"/>
    <s v="PALF"/>
    <x v="5"/>
    <s v="Congo"/>
    <x v="0"/>
    <x v="0"/>
    <m/>
  </r>
  <r>
    <x v="202"/>
    <s v="Taxi moto, Hôtel Tropicana-Hôtel Mithé2"/>
    <s v="Transport"/>
    <s v="Media"/>
    <x v="294"/>
    <x v="618"/>
    <n v="560.94200000000001"/>
    <s v="Evariste"/>
    <s v="EV-AU-D1"/>
    <s v="PALF"/>
    <x v="5"/>
    <s v="Congo"/>
    <x v="0"/>
    <x v="0"/>
    <m/>
  </r>
  <r>
    <x v="203"/>
    <s v="Maison-Bureau"/>
    <s v="Transport"/>
    <s v="Management"/>
    <x v="24"/>
    <x v="608"/>
    <n v="560.94200000000001"/>
    <s v="DOVI"/>
    <s v="DH-AU-D1"/>
    <s v="PALF"/>
    <x v="5"/>
    <s v="Congo"/>
    <x v="0"/>
    <x v="0"/>
    <m/>
  </r>
  <r>
    <x v="203"/>
    <s v="Bureau-Maison"/>
    <s v="Transport"/>
    <s v="Management"/>
    <x v="24"/>
    <x v="608"/>
    <n v="560.94200000000001"/>
    <s v="DOVI"/>
    <s v="DH-AU-D1"/>
    <s v="PALF"/>
    <x v="5"/>
    <s v="Congo"/>
    <x v="0"/>
    <x v="0"/>
    <m/>
  </r>
  <r>
    <x v="203"/>
    <s v="Taxi moto: Hôtel Tropicana-Hôtel Mithé pour briefing équipe PALF."/>
    <s v="Transport"/>
    <s v="Legal"/>
    <x v="294"/>
    <x v="618"/>
    <n v="560.94200000000001"/>
    <s v="Crépin"/>
    <s v="CR-AU-D1"/>
    <s v="PALF"/>
    <x v="5"/>
    <s v="Congo"/>
    <x v="0"/>
    <x v="0"/>
    <m/>
  </r>
  <r>
    <x v="203"/>
    <s v="Taxi moto: Hôtel Mithé-Hôtel Tropicana"/>
    <s v="Transport"/>
    <s v="Legal"/>
    <x v="294"/>
    <x v="618"/>
    <n v="560.94200000000001"/>
    <s v="Crépin"/>
    <s v="CR-AU-D1"/>
    <s v="PALF"/>
    <x v="5"/>
    <s v="Congo"/>
    <x v="0"/>
    <x v="0"/>
    <m/>
  </r>
  <r>
    <x v="203"/>
    <s v="Taxi tricycle hotel kb fils-hotel mithe,brefing"/>
    <s v="Transport"/>
    <s v="Investigation"/>
    <x v="24"/>
    <x v="608"/>
    <n v="560.94200000000001"/>
    <s v="P29"/>
    <s v="P29-AU-D1"/>
    <s v="PALF"/>
    <x v="5"/>
    <s v="Congo"/>
    <x v="0"/>
    <x v="0"/>
    <m/>
  </r>
  <r>
    <x v="203"/>
    <s v="Taxi tricycle hotel mithe-hotel kb fils"/>
    <s v="Transport"/>
    <s v="Investigation"/>
    <x v="24"/>
    <x v="608"/>
    <n v="560.94200000000001"/>
    <s v="P29"/>
    <s v="P29-AU-D1"/>
    <s v="PALF"/>
    <x v="5"/>
    <s v="Congo"/>
    <x v="0"/>
    <x v="0"/>
    <m/>
  </r>
  <r>
    <x v="203"/>
    <s v="Taxi moto : hotel tropicana - centre ville (rendez vous avec la cible)"/>
    <s v="Transport"/>
    <s v="Investigation"/>
    <x v="294"/>
    <x v="618"/>
    <n v="560.94200000000001"/>
    <s v="T73"/>
    <s v="T73-AU-D1"/>
    <s v="PALF"/>
    <x v="5"/>
    <s v="Congo"/>
    <x v="0"/>
    <x v="0"/>
    <m/>
  </r>
  <r>
    <x v="203"/>
    <s v="Taxi moto : centre ville - marché (extraction)"/>
    <s v="Transport"/>
    <s v="Investigation"/>
    <x v="294"/>
    <x v="618"/>
    <n v="560.94200000000001"/>
    <s v="T73"/>
    <s v="T73-AU-D1"/>
    <s v="PALF"/>
    <x v="5"/>
    <s v="Congo"/>
    <x v="0"/>
    <x v="0"/>
    <m/>
  </r>
  <r>
    <x v="203"/>
    <s v="Taxi moto : marché - zone stade (extraction)"/>
    <s v="Transport"/>
    <s v="Investigation"/>
    <x v="294"/>
    <x v="618"/>
    <n v="560.94200000000001"/>
    <s v="T73"/>
    <s v="T73-AU-D1"/>
    <s v="PALF"/>
    <x v="5"/>
    <s v="Congo"/>
    <x v="0"/>
    <x v="0"/>
    <m/>
  </r>
  <r>
    <x v="203"/>
    <s v="Taxi moto : zone stade - quartier tosangana (extraction)"/>
    <s v="Transport"/>
    <s v="Investigation"/>
    <x v="294"/>
    <x v="618"/>
    <n v="560.94200000000001"/>
    <s v="T73"/>
    <s v="T73-AU-D1"/>
    <s v="PALF"/>
    <x v="5"/>
    <s v="Congo"/>
    <x v="0"/>
    <x v="0"/>
    <m/>
  </r>
  <r>
    <x v="203"/>
    <s v="Taxi moto : quartier tosangana - hotel mithe (reunion avec l'équipe)"/>
    <s v="Transport"/>
    <s v="Investigation"/>
    <x v="294"/>
    <x v="618"/>
    <n v="560.94200000000001"/>
    <s v="T73"/>
    <s v="T73-AU-D1"/>
    <s v="PALF"/>
    <x v="5"/>
    <s v="Congo"/>
    <x v="0"/>
    <x v="0"/>
    <m/>
  </r>
  <r>
    <x v="203"/>
    <s v="Taxi moto : hotel mithe - hottel tropicana (reunion avec l'équipe)"/>
    <s v="Transport"/>
    <s v="Investigation"/>
    <x v="294"/>
    <x v="618"/>
    <n v="560.94200000000001"/>
    <s v="T73"/>
    <s v="T73-AU-D1"/>
    <s v="PALF"/>
    <x v="5"/>
    <s v="Congo"/>
    <x v="0"/>
    <x v="0"/>
    <m/>
  </r>
  <r>
    <x v="203"/>
    <s v="IT87-CONGO Frais d'hôtel  du 23 au 24/08/2025 à Inoni (01 nuitée)"/>
    <s v="Travel Subsistence"/>
    <s v="Investigation"/>
    <x v="64"/>
    <x v="625"/>
    <n v="560.94200000000001"/>
    <s v="IT87"/>
    <s v="IT87-AU-R9"/>
    <s v="PALF"/>
    <x v="5"/>
    <s v="Congo"/>
    <x v="0"/>
    <x v="0"/>
    <m/>
  </r>
  <r>
    <x v="203"/>
    <s v="Taxi moto : Hôtel - Parking/ Départ de Inoni pour Brazzaville"/>
    <s v="Transport"/>
    <s v="Investigation"/>
    <x v="294"/>
    <x v="618"/>
    <n v="560.94200000000001"/>
    <s v="IT87"/>
    <s v="IT87-AU-D1"/>
    <s v="PALF"/>
    <x v="5"/>
    <s v="Congo"/>
    <x v="0"/>
    <x v="0"/>
    <m/>
  </r>
  <r>
    <x v="203"/>
    <s v="Achat billet Inoni - Brazzaville/ IT87"/>
    <s v="Transport"/>
    <s v="Investigation"/>
    <x v="31"/>
    <x v="612"/>
    <n v="560.94200000000001"/>
    <s v="IT87"/>
    <s v="IT87-AU-R10"/>
    <s v="PALF"/>
    <x v="5"/>
    <s v="Congo"/>
    <x v="0"/>
    <x v="0"/>
    <m/>
  </r>
  <r>
    <x v="203"/>
    <s v="Taxi : TalangaÏ - Domicile/ Arrivé à Brazzaville"/>
    <s v="Transport"/>
    <s v="Investigation"/>
    <x v="101"/>
    <x v="638"/>
    <n v="560.94200000000001"/>
    <s v="IT87"/>
    <s v="IT87-AU-D1"/>
    <s v="PALF"/>
    <x v="5"/>
    <s v="Congo"/>
    <x v="0"/>
    <x v="0"/>
    <m/>
  </r>
  <r>
    <x v="203"/>
    <s v="CONGO frais d'hôtel du 19 /08/2025 au 24/08/2025 à pointe noire"/>
    <s v="Travel Subsistence"/>
    <s v="Investigation"/>
    <x v="116"/>
    <x v="651"/>
    <n v="560.94200000000001"/>
    <s v="G12"/>
    <s v="G12-AU-R10"/>
    <s v="PALF"/>
    <x v="5"/>
    <s v="Congo"/>
    <x v="0"/>
    <x v="0"/>
    <m/>
  </r>
  <r>
    <x v="203"/>
    <s v="Taxi : Hotel- agence / achat billet pointe noire / brazzaville"/>
    <s v="Transport"/>
    <s v="Investigation"/>
    <x v="24"/>
    <x v="608"/>
    <n v="560.94200000000001"/>
    <s v="G12"/>
    <s v="G12-AU-D1"/>
    <s v="PALF"/>
    <x v="5"/>
    <s v="Congo"/>
    <x v="0"/>
    <x v="0"/>
    <m/>
  </r>
  <r>
    <x v="203"/>
    <s v="Taxi: Agence - domicile     "/>
    <s v="Transport"/>
    <s v="Investigation"/>
    <x v="24"/>
    <x v="608"/>
    <n v="560.94200000000001"/>
    <s v="G12"/>
    <s v="G12-AU-D1"/>
    <s v="PALF"/>
    <x v="5"/>
    <s v="Congo"/>
    <x v="0"/>
    <x v="0"/>
    <m/>
  </r>
  <r>
    <x v="203"/>
    <s v="Taxi moto Hôtel Mithé- Cyber / Faire imprimer la photo et le mandat"/>
    <s v="Transport "/>
    <s v="Legal"/>
    <x v="294"/>
    <x v="618"/>
    <n v="560.94200000000001"/>
    <s v="Donald-Romeo"/>
    <s v="DR-AU-D1"/>
    <s v="PALF"/>
    <x v="5"/>
    <s v="Congo"/>
    <x v="0"/>
    <x v="0"/>
    <m/>
  </r>
  <r>
    <x v="203"/>
    <s v="Frais d'impression de la photo et du mandat"/>
    <s v="Court fees"/>
    <s v="Legal"/>
    <x v="241"/>
    <x v="652"/>
    <n v="560.94200000000001"/>
    <s v="Donald-Romeo"/>
    <s v="DR-AU-R6"/>
    <s v="PALF"/>
    <x v="5"/>
    <s v="Congo"/>
    <x v="0"/>
    <x v="0"/>
    <m/>
  </r>
  <r>
    <x v="203"/>
    <s v="Taxi moto Cyber-Hôtel Mithé"/>
    <s v="Transport "/>
    <s v="Legal"/>
    <x v="294"/>
    <x v="618"/>
    <n v="560.94200000000001"/>
    <s v="Donald-Romeo"/>
    <s v="DR-AU-D1"/>
    <s v="PALF"/>
    <x v="5"/>
    <s v="Congo"/>
    <x v="0"/>
    <x v="0"/>
    <m/>
  </r>
  <r>
    <x v="204"/>
    <s v="Maison-Bureau"/>
    <s v="Transport"/>
    <s v="Management"/>
    <x v="24"/>
    <x v="608"/>
    <n v="560.94200000000001"/>
    <s v="DOVI"/>
    <s v="DH-AU-D1"/>
    <s v="PALF"/>
    <x v="5"/>
    <s v="Congo"/>
    <x v="0"/>
    <x v="0"/>
    <m/>
  </r>
  <r>
    <x v="204"/>
    <s v="Bureau-Maison"/>
    <s v="Transport"/>
    <s v="Management"/>
    <x v="24"/>
    <x v="608"/>
    <n v="560.94200000000001"/>
    <s v="DOVI"/>
    <s v="DH-AU-D1"/>
    <s v="PALF"/>
    <x v="5"/>
    <s v="Congo"/>
    <x v="0"/>
    <x v="0"/>
    <m/>
  </r>
  <r>
    <x v="204"/>
    <s v="Taxi moto: Hôtel Tropicana-Gendarmerie pour briefing autorités"/>
    <s v="Transport"/>
    <s v="Legal"/>
    <x v="294"/>
    <x v="618"/>
    <n v="560.94200000000001"/>
    <s v="Crépin"/>
    <s v="CR-AU-D1"/>
    <s v="PALF"/>
    <x v="5"/>
    <s v="Congo"/>
    <x v="0"/>
    <x v="0"/>
    <m/>
  </r>
  <r>
    <x v="204"/>
    <s v="05 Taxis motos pour 04 gendarmes et moi: Gendarmerie-Hôtel Tropicana pour positionnement"/>
    <s v="Transport"/>
    <s v="Legal"/>
    <x v="70"/>
    <x v="615"/>
    <n v="560.94200000000001"/>
    <s v="Crépin"/>
    <s v="CR-AU-D1"/>
    <s v="PALF"/>
    <x v="5"/>
    <s v="Congo"/>
    <x v="0"/>
    <x v="0"/>
    <m/>
  </r>
  <r>
    <x v="204"/>
    <s v="Raffraichissements pendant l'attente de l'opération avec 04 gendarmes en civli"/>
    <s v="Travel Subsistence"/>
    <s v="Operation"/>
    <x v="4"/>
    <x v="626"/>
    <n v="560.94200000000001"/>
    <s v="Crépin"/>
    <s v="CR-AU-R1-8"/>
    <s v="PALF"/>
    <x v="5"/>
    <s v="Congo"/>
    <x v="0"/>
    <x v="0"/>
    <m/>
  </r>
  <r>
    <x v="204"/>
    <s v="Taxi moto: Gendarmerie-Hôtel Mithé"/>
    <s v="Transport"/>
    <s v="Legal"/>
    <x v="294"/>
    <x v="618"/>
    <n v="560.94200000000001"/>
    <s v="Crépin"/>
    <s v="CR-AU-D1"/>
    <s v="PALF"/>
    <x v="5"/>
    <s v="Congo"/>
    <x v="0"/>
    <x v="0"/>
    <m/>
  </r>
  <r>
    <x v="204"/>
    <s v="Taxi:  Bureau-Banque BCI/ Dépôt ordre de virement salaire du mois d'Août 2025"/>
    <s v="Transport"/>
    <s v="Office"/>
    <x v="24"/>
    <x v="608"/>
    <n v="560.94200000000001"/>
    <s v="Parfaite"/>
    <s v="P-AU-D1"/>
    <s v="PALF"/>
    <x v="5"/>
    <s v="Congo"/>
    <x v="0"/>
    <x v="0"/>
    <m/>
  </r>
  <r>
    <x v="204"/>
    <s v="Taxi:  Banque BCI - Direction MTN /Transfert d'argent à P29 et T73"/>
    <s v="Transport"/>
    <s v="Office"/>
    <x v="24"/>
    <x v="608"/>
    <n v="560.94200000000001"/>
    <s v="Parfaite"/>
    <s v="P-AU-D1"/>
    <s v="PALF"/>
    <x v="5"/>
    <s v="Congo"/>
    <x v="0"/>
    <x v="0"/>
    <m/>
  </r>
  <r>
    <x v="204"/>
    <s v="Taxi: Direction MTN-Bureau/ "/>
    <s v="Transport"/>
    <s v="Office"/>
    <x v="24"/>
    <x v="608"/>
    <n v="560.94200000000001"/>
    <s v="Parfaite"/>
    <s v="P-AU-D1"/>
    <s v="PALF"/>
    <x v="5"/>
    <s v="Congo"/>
    <x v="0"/>
    <x v="0"/>
    <m/>
  </r>
  <r>
    <x v="204"/>
    <s v="Frais de tansfert d'argent à T73 et P29"/>
    <s v="Transfert fees"/>
    <s v="Office"/>
    <x v="314"/>
    <x v="653"/>
    <n v="560.94200000000001"/>
    <s v="Parfaite"/>
    <s v="CA-AU-R11"/>
    <s v="PALF"/>
    <x v="5"/>
    <s v="Congo"/>
    <x v="0"/>
    <x v="0"/>
    <m/>
  </r>
  <r>
    <x v="204"/>
    <s v="P29 -CONGO Frais d'hotel du 16 au 25/08/2025 à  impfondo (09 Nuitées)"/>
    <s v="Travel Subsistence"/>
    <s v="Investigation"/>
    <x v="137"/>
    <x v="654"/>
    <n v="560.94200000000001"/>
    <s v="P29"/>
    <s v="P29-AU-R8"/>
    <s v="PALF"/>
    <x v="5"/>
    <s v="Congo"/>
    <x v="0"/>
    <x v="0"/>
    <m/>
  </r>
  <r>
    <x v="204"/>
    <s v="Location véhicule pour extraction Impfondo-enyelle/P29"/>
    <s v="Transport"/>
    <s v="Investigation"/>
    <x v="315"/>
    <x v="655"/>
    <n v="560.94200000000001"/>
    <s v="P29"/>
    <s v="P29-AU-R9"/>
    <s v="PALF"/>
    <x v="5"/>
    <s v="Congo"/>
    <x v="0"/>
    <x v="0"/>
    <m/>
  </r>
  <r>
    <x v="204"/>
    <s v="Taxi hotel-route nationale,croiser le vehicule extraction"/>
    <s v="Transport"/>
    <s v="Investigation"/>
    <x v="24"/>
    <x v="608"/>
    <n v="560.94200000000001"/>
    <s v="P29"/>
    <s v="P29-AU-D1"/>
    <s v="PALF"/>
    <x v="5"/>
    <s v="Congo"/>
    <x v="0"/>
    <x v="0"/>
    <m/>
  </r>
  <r>
    <x v="204"/>
    <s v="Taxi moto Hôtel Mithé- Gendarmerie/ Opération"/>
    <s v="Transport "/>
    <s v="Legal"/>
    <x v="294"/>
    <x v="618"/>
    <n v="560.94200000000001"/>
    <s v="Donald-Romeo"/>
    <s v="DR-AU-D1"/>
    <s v="PALF"/>
    <x v="5"/>
    <s v="Congo"/>
    <x v="0"/>
    <x v="0"/>
    <m/>
  </r>
  <r>
    <x v="204"/>
    <s v="Achat carburant BJ OP"/>
    <s v="Transport "/>
    <s v="Operation"/>
    <x v="7"/>
    <x v="620"/>
    <n v="560.94200000000001"/>
    <s v="Donald-Romeo"/>
    <s v="DR-AU-R7"/>
    <s v="PALF"/>
    <x v="5"/>
    <s v="Congo"/>
    <x v="0"/>
    <x v="0"/>
    <m/>
  </r>
  <r>
    <x v="204"/>
    <s v="Raffraichissement OP  à Impfondo/10  gendarmes et moi"/>
    <s v="Travel Subsistence"/>
    <s v="Legal"/>
    <x v="316"/>
    <x v="656"/>
    <n v="560.94200000000001"/>
    <s v="Donald-Romeo"/>
    <s v="DR-AU-R8"/>
    <s v="PALF"/>
    <x v="5"/>
    <s v="Congo"/>
    <x v="0"/>
    <x v="0"/>
    <m/>
  </r>
  <r>
    <x v="204"/>
    <s v="Taxi moto Region de Gendarmerie- Hôtel Mithé"/>
    <s v="Transport "/>
    <s v="Legal"/>
    <x v="294"/>
    <x v="618"/>
    <n v="560.94200000000001"/>
    <s v="Donald-Romeo"/>
    <s v="DR-AU-D1"/>
    <s v="PALF"/>
    <x v="5"/>
    <s v="Congo"/>
    <x v="0"/>
    <x v="0"/>
    <m/>
  </r>
  <r>
    <x v="204"/>
    <s v="Taxi moto Hôtel Mithé-La Brigade de Recherche/ Pour la visite geôle du 25/08/2025 à 20h"/>
    <s v="Transport "/>
    <s v="Legal"/>
    <x v="294"/>
    <x v="618"/>
    <n v="560.94200000000001"/>
    <s v="Donald-Romeo"/>
    <s v="DR-AU-D1"/>
    <s v="PALF"/>
    <x v="5"/>
    <s v="Congo"/>
    <x v="0"/>
    <x v="0"/>
    <m/>
  </r>
  <r>
    <x v="204"/>
    <s v="Ration d'une prevenue/ MOUKAHOU Clarisse/ A la gandarmerie d'Impfondo/Soir"/>
    <s v="Jail visit"/>
    <s v="Legal"/>
    <x v="120"/>
    <x v="614"/>
    <n v="560.94200000000001"/>
    <s v="Donald-Romeo"/>
    <s v="DR-AU-D3"/>
    <s v="PALF"/>
    <x v="5"/>
    <s v="Congo"/>
    <x v="0"/>
    <x v="0"/>
    <m/>
  </r>
  <r>
    <x v="204"/>
    <s v="Taxi moto La Brigade de Recherche- Hôtel Mithé"/>
    <s v="Transport "/>
    <s v="Legal"/>
    <x v="294"/>
    <x v="618"/>
    <n v="560.94200000000001"/>
    <s v="Donald-Romeo"/>
    <s v="DR-AU-D1"/>
    <s v="PALF"/>
    <x v="5"/>
    <s v="Congo"/>
    <x v="0"/>
    <x v="0"/>
    <m/>
  </r>
  <r>
    <x v="204"/>
    <s v="Taxi moto, Hôtel Mithé2-Région de Gendarmerie"/>
    <s v="Transport"/>
    <s v="Media"/>
    <x v="294"/>
    <x v="618"/>
    <n v="560.94200000000001"/>
    <s v="Evariste"/>
    <s v="EV-AU-D1"/>
    <s v="PALF"/>
    <x v="5"/>
    <s v="Congo"/>
    <x v="0"/>
    <x v="0"/>
    <m/>
  </r>
  <r>
    <x v="204"/>
    <s v="Taxi moto, Région de Gendarmerie-Le Bar en face de l'hôtel Tropicana"/>
    <s v="Transport"/>
    <s v="Media"/>
    <x v="294"/>
    <x v="618"/>
    <n v="560.94200000000001"/>
    <s v="Evariste"/>
    <s v="EV-AU-D1"/>
    <s v="PALF"/>
    <x v="5"/>
    <s v="Congo"/>
    <x v="0"/>
    <x v="0"/>
    <m/>
  </r>
  <r>
    <x v="204"/>
    <s v="Rafraichissement de mon équipe lors de l'opération/ Evariste"/>
    <s v="Travel Subsistence"/>
    <s v="Media"/>
    <x v="4"/>
    <x v="626"/>
    <n v="560.94200000000001"/>
    <s v="Evariste"/>
    <s v="EV-AU-R6"/>
    <s v="PALF"/>
    <x v="5"/>
    <s v="Congo"/>
    <x v="0"/>
    <x v="0"/>
    <m/>
  </r>
  <r>
    <x v="204"/>
    <s v="Taxi moto, Région de Gendarmerie-Hôtel Mithé2"/>
    <s v="Transport"/>
    <s v="Media"/>
    <x v="294"/>
    <x v="618"/>
    <n v="560.94200000000001"/>
    <s v="Evariste"/>
    <s v="EV-AU-D1"/>
    <s v="PALF"/>
    <x v="5"/>
    <s v="Congo"/>
    <x v="0"/>
    <x v="0"/>
    <m/>
  </r>
  <r>
    <x v="204"/>
    <s v="Achat chaise  bureau PALF"/>
    <s v="Equipment"/>
    <s v="Office"/>
    <x v="29"/>
    <x v="657"/>
    <n v="560.94200000000001"/>
    <s v="Romain"/>
    <s v="CA-AU-R9"/>
    <s v="PALF"/>
    <x v="5"/>
    <s v="Congo"/>
    <x v="0"/>
    <x v="0"/>
    <m/>
  </r>
  <r>
    <x v="204"/>
    <s v="Frais de reparation chaise bureau PALF"/>
    <s v="Services"/>
    <s v="Office"/>
    <x v="31"/>
    <x v="612"/>
    <n v="560.94200000000001"/>
    <s v="Romain"/>
    <s v="CA-AU-R10"/>
    <s v="PALF"/>
    <x v="5"/>
    <s v="Congo"/>
    <x v="0"/>
    <x v="0"/>
    <m/>
  </r>
  <r>
    <x v="204"/>
    <s v="Paiement salaire du mois d'Août 2025/BAVOUMINA NZOUSSI Dina Parfaite/3654421"/>
    <s v="Personnel"/>
    <s v="Office"/>
    <x v="317"/>
    <x v="658"/>
    <n v="560.94200000000001"/>
    <s v="BCI"/>
    <s v="BQ-AU-R8"/>
    <s v="PALF"/>
    <x v="5"/>
    <s v="Congo"/>
    <x v="0"/>
    <x v="0"/>
    <m/>
  </r>
  <r>
    <x v="204"/>
    <s v="Paiement salaire du mois d'Août 2025/FOUMBA Roderlin/3654424"/>
    <s v="Personnel"/>
    <s v="Legal"/>
    <x v="318"/>
    <x v="659"/>
    <n v="560.94200000000001"/>
    <s v="BCI"/>
    <s v="BQ-AU-R9"/>
    <s v="PALF"/>
    <x v="5"/>
    <s v="Congo"/>
    <x v="0"/>
    <x v="0"/>
    <m/>
  </r>
  <r>
    <x v="204"/>
    <s v="Paiement salaire du mois d'Août 2025/BOUNGOU MAKOSSO Abraham/3654423"/>
    <s v="Personnel"/>
    <s v="Legal"/>
    <x v="318"/>
    <x v="659"/>
    <n v="560.94200000000001"/>
    <s v="BCI"/>
    <s v="BQ-AU-R10"/>
    <s v="PALF"/>
    <x v="5"/>
    <s v="Congo"/>
    <x v="0"/>
    <x v="0"/>
    <m/>
  </r>
  <r>
    <x v="204"/>
    <s v="Paiement salaire du mois d'Août 2025/Crepin IBOUILI-IBOUILI"/>
    <s v="Personnel"/>
    <s v="Legal"/>
    <x v="319"/>
    <x v="660"/>
    <n v="560.94200000000001"/>
    <s v="BCI"/>
    <s v="BQ-AU-R11"/>
    <s v="PALF"/>
    <x v="5"/>
    <s v="Congo"/>
    <x v="0"/>
    <x v="0"/>
    <m/>
  </r>
  <r>
    <x v="204"/>
    <s v="Paiement salaire du mois d'Août 2025/PINDI BINGA Donald- Roméo"/>
    <s v="Personnel"/>
    <s v="Legal"/>
    <x v="320"/>
    <x v="661"/>
    <n v="560.94200000000001"/>
    <s v="BCI"/>
    <s v="BQ-AU-R12"/>
    <s v="PALF"/>
    <x v="5"/>
    <s v="Congo"/>
    <x v="0"/>
    <x v="0"/>
    <m/>
  </r>
  <r>
    <x v="204"/>
    <s v="Paiement salaire du mois d'Août 2025/Evariste LELOUSSI"/>
    <s v="Personnel"/>
    <s v="Media"/>
    <x v="321"/>
    <x v="662"/>
    <n v="560.94200000000001"/>
    <s v="BCI"/>
    <s v="BQ-AU-R13"/>
    <s v="PALF"/>
    <x v="5"/>
    <s v="Congo"/>
    <x v="0"/>
    <x v="0"/>
    <m/>
  </r>
  <r>
    <x v="204"/>
    <s v="Paiement salaire du mois d'Août 2025/LOUNDOU JeanRomain/3654422"/>
    <s v="Personnel"/>
    <s v="Legal"/>
    <x v="318"/>
    <x v="659"/>
    <n v="560.94200000000001"/>
    <s v="BCI"/>
    <s v="BQ-AU-R14"/>
    <s v="PALF"/>
    <x v="5"/>
    <s v="Congo"/>
    <x v="0"/>
    <x v="0"/>
    <m/>
  </r>
  <r>
    <x v="204"/>
    <s v="Paiement salaire du mois d'Août 2025/Homéfa DOVI/3654425"/>
    <s v="Personnel"/>
    <s v="Management"/>
    <x v="57"/>
    <x v="623"/>
    <n v="560.94200000000001"/>
    <s v="BCI"/>
    <s v="BQ-AU-R15"/>
    <s v="PALF"/>
    <x v="5"/>
    <s v="Congo"/>
    <x v="0"/>
    <x v="0"/>
    <m/>
  </r>
  <r>
    <x v="204"/>
    <s v="Frais de virement salaire du mois d'Août 2025"/>
    <s v="Bank fees"/>
    <s v="Office"/>
    <x v="72"/>
    <x v="663"/>
    <n v="560.94200000000001"/>
    <s v="BCI"/>
    <s v="BQ-AU-R16"/>
    <s v="PALF"/>
    <x v="5"/>
    <s v="Congo"/>
    <x v="0"/>
    <x v="0"/>
    <m/>
  </r>
  <r>
    <x v="205"/>
    <s v="Maison-Bureau"/>
    <s v="Transport"/>
    <s v="Management"/>
    <x v="24"/>
    <x v="608"/>
    <n v="560.94200000000001"/>
    <s v="DOVI"/>
    <s v="DH-AU-D1"/>
    <s v="PALF"/>
    <x v="5"/>
    <s v="Congo"/>
    <x v="0"/>
    <x v="0"/>
    <m/>
  </r>
  <r>
    <x v="205"/>
    <s v="Bureau-Maison"/>
    <s v="Transport"/>
    <s v="Management"/>
    <x v="24"/>
    <x v="48"/>
    <n v="560.94200000000001"/>
    <s v="DOVI"/>
    <s v="DH-AU-D1"/>
    <s v="PALF"/>
    <x v="5"/>
    <s v="Congo"/>
    <x v="0"/>
    <x v="0"/>
    <m/>
  </r>
  <r>
    <x v="205"/>
    <s v="Taxi moto: Hôtel Mithé-Gendarmerie"/>
    <s v="Transport"/>
    <s v="Legal"/>
    <x v="294"/>
    <x v="618"/>
    <n v="560.94200000000001"/>
    <s v="Crépin"/>
    <s v="CR-AU-D1"/>
    <s v="PALF"/>
    <x v="5"/>
    <s v="Congo"/>
    <x v="0"/>
    <x v="0"/>
    <m/>
  </r>
  <r>
    <x v="205"/>
    <s v="Bonus pour 16 gendarmes ayant participé à l'opération"/>
    <s v="Travel Subsistence"/>
    <s v="Operation"/>
    <x v="18"/>
    <x v="664"/>
    <n v="560.94200000000001"/>
    <s v="Crépin"/>
    <s v="CR-AU-R1-9"/>
    <s v="PALF"/>
    <x v="5"/>
    <s v="Congo"/>
    <x v="0"/>
    <x v="0"/>
    <m/>
  </r>
  <r>
    <x v="205"/>
    <s v="Bonus pour 02 EF ayant participé à l'opération"/>
    <s v="Travel Subsistence"/>
    <s v="Operation"/>
    <x v="0"/>
    <x v="640"/>
    <n v="560.94200000000001"/>
    <s v="Crépin"/>
    <s v="CR-AU-R1-10"/>
    <s v="PALF"/>
    <x v="5"/>
    <s v="Congo"/>
    <x v="0"/>
    <x v="0"/>
    <m/>
  </r>
  <r>
    <x v="205"/>
    <s v="Taxi moto: Gendarmerie-Hôtel"/>
    <s v="Transport"/>
    <s v="Legal"/>
    <x v="294"/>
    <x v="618"/>
    <n v="560.94200000000001"/>
    <s v="Crépin"/>
    <s v="CR-AU-D1"/>
    <s v="PALF"/>
    <x v="5"/>
    <s v="Congo"/>
    <x v="0"/>
    <x v="0"/>
    <m/>
  </r>
  <r>
    <x v="205"/>
    <s v="Taxi: Bureau - Charden Farell/transfert d'argent à Crépin , Evariste et Donald-Roméo"/>
    <s v="Transport"/>
    <s v="Office"/>
    <x v="294"/>
    <x v="618"/>
    <n v="560.94200000000001"/>
    <s v="Parfaite"/>
    <s v="P-AU-D1"/>
    <s v="PALF"/>
    <x v="5"/>
    <s v="Congo"/>
    <x v="0"/>
    <x v="0"/>
    <m/>
  </r>
  <r>
    <x v="205"/>
    <s v="Taxi: Charden Farell- Bureau/transferft d'argent"/>
    <s v="Transport"/>
    <s v="Office"/>
    <x v="294"/>
    <x v="618"/>
    <n v="560.94200000000001"/>
    <s v="Parfaite"/>
    <s v="P-AU-D1"/>
    <s v="PALF"/>
    <x v="5"/>
    <s v="Congo"/>
    <x v="0"/>
    <x v="0"/>
    <m/>
  </r>
  <r>
    <x v="205"/>
    <s v="P29 -CONGO Frais d'hotel du 23 au 26/08/2025 à Impfondo lieu op(T73) (03 Nuitées)"/>
    <s v="Travel Subsistence"/>
    <s v="Investigation"/>
    <x v="116"/>
    <x v="651"/>
    <n v="560.94200000000001"/>
    <s v="P29"/>
    <s v="P29-AU-R10"/>
    <s v="PALF"/>
    <x v="5"/>
    <s v="Congo"/>
    <x v="0"/>
    <x v="0"/>
    <m/>
  </r>
  <r>
    <x v="205"/>
    <s v="P29 -CONGO Frais d'hotel du 23 au 26/08/2025 à Impfondo lieu op(Crépin) (03 Nuitées)"/>
    <s v="Travel Subsistence"/>
    <s v="Investigation"/>
    <x v="116"/>
    <x v="651"/>
    <n v="560.94200000000001"/>
    <s v="P29"/>
    <s v="P29-AU-R11"/>
    <s v="PALF"/>
    <x v="5"/>
    <s v="Congo"/>
    <x v="0"/>
    <x v="0"/>
    <m/>
  </r>
  <r>
    <x v="205"/>
    <s v="Taxi moto : hotel paulina - centre ville ( prospection a enyele)"/>
    <s v="Transport"/>
    <s v="Investigation"/>
    <x v="294"/>
    <x v="618"/>
    <n v="560.94200000000001"/>
    <s v="T73"/>
    <s v="T73-AU-D1"/>
    <s v="PALF"/>
    <x v="5"/>
    <s v="Congo"/>
    <x v="0"/>
    <x v="0"/>
    <m/>
  </r>
  <r>
    <x v="205"/>
    <s v="Taxi moto : centre ville - hotel ( prospection a enyele)"/>
    <s v="Transport"/>
    <s v="Investigation"/>
    <x v="294"/>
    <x v="618"/>
    <n v="560.94200000000001"/>
    <s v="T73"/>
    <s v="T73-AU-D1"/>
    <s v="PALF"/>
    <x v="5"/>
    <s v="Congo"/>
    <x v="0"/>
    <x v="0"/>
    <m/>
  </r>
  <r>
    <x v="205"/>
    <s v="Achat eau mineral 10 LITRES/Bureau"/>
    <s v="Office Materiels"/>
    <s v="Office "/>
    <x v="7"/>
    <x v="620"/>
    <n v="560.94200000000001"/>
    <s v="Abraham"/>
    <s v="CA-AU-R13"/>
    <s v="PALF"/>
    <x v="5"/>
    <s v="Congo"/>
    <x v="0"/>
    <x v="0"/>
    <m/>
  </r>
  <r>
    <x v="205"/>
    <s v="Taxi moto Hôtel Mithé-La Brigade de Recherche/ Pour la visite geôle du 26/08/2025 à 07h"/>
    <s v="Transport "/>
    <s v="Legal"/>
    <x v="294"/>
    <x v="618"/>
    <n v="560.94200000000001"/>
    <s v="Donald-Romeo"/>
    <s v="DR-AU-D1"/>
    <s v="PALF"/>
    <x v="5"/>
    <s v="Congo"/>
    <x v="0"/>
    <x v="0"/>
    <m/>
  </r>
  <r>
    <x v="205"/>
    <s v="Ration d'une prevenue/ MOUKAHOU Clarisse/ A la gandarmerie d'Impfondo/Matin"/>
    <s v="Jail visit"/>
    <s v="Legal"/>
    <x v="120"/>
    <x v="614"/>
    <n v="560.94200000000001"/>
    <s v="Donald-Romeo"/>
    <s v="DR-AU-D3"/>
    <s v="PALF"/>
    <x v="5"/>
    <s v="Congo"/>
    <x v="0"/>
    <x v="0"/>
    <m/>
  </r>
  <r>
    <x v="205"/>
    <s v="Taxi moto La Brigade de Recherche- Hôtel Mithé"/>
    <s v="Transport "/>
    <s v="Legal"/>
    <x v="294"/>
    <x v="618"/>
    <n v="560.94200000000001"/>
    <s v="Donald-Romeo"/>
    <s v="DR-AU-D1"/>
    <s v="PALF"/>
    <x v="5"/>
    <s v="Congo"/>
    <x v="0"/>
    <x v="0"/>
    <m/>
  </r>
  <r>
    <x v="205"/>
    <s v="Taxi moto Hôtel Mithé-La gendarmerie/ Auditions"/>
    <s v="Transport "/>
    <s v="Legal"/>
    <x v="294"/>
    <x v="618"/>
    <n v="560.94200000000001"/>
    <s v="Donald-Romeo"/>
    <s v="DR-AU-D1"/>
    <s v="PALF"/>
    <x v="5"/>
    <s v="Congo"/>
    <x v="0"/>
    <x v="0"/>
    <m/>
  </r>
  <r>
    <x v="205"/>
    <s v="Taxi moto La gendarmerie- Hôtel Mithé"/>
    <s v="Transport "/>
    <s v="Legal"/>
    <x v="294"/>
    <x v="618"/>
    <n v="560.94200000000001"/>
    <s v="Donald-Romeo"/>
    <s v="DR-AU-D1"/>
    <s v="PALF"/>
    <x v="5"/>
    <s v="Congo"/>
    <x v="0"/>
    <x v="0"/>
    <m/>
  </r>
  <r>
    <x v="205"/>
    <s v="Taxi moto Hôtel Mithé-La Brigade de Recherche/ Pour la visite geôle du 26/08/2025 à 20h"/>
    <s v="Transport "/>
    <s v="Legal"/>
    <x v="294"/>
    <x v="618"/>
    <n v="560.94200000000001"/>
    <s v="Donald-Romeo"/>
    <s v="DR-AU-D1"/>
    <s v="PALF"/>
    <x v="5"/>
    <s v="Congo"/>
    <x v="0"/>
    <x v="0"/>
    <m/>
  </r>
  <r>
    <x v="205"/>
    <s v="Ration d'une prevenue/ MOUKAHOU Clarisse/ A la gandarmerie d'Impfondo/Soir"/>
    <s v="Jail visit"/>
    <s v="Legal"/>
    <x v="120"/>
    <x v="614"/>
    <n v="560.94200000000001"/>
    <s v="Donald-Romeo"/>
    <s v="DR-AU-D3"/>
    <s v="PALF"/>
    <x v="5"/>
    <s v="Congo"/>
    <x v="0"/>
    <x v="0"/>
    <m/>
  </r>
  <r>
    <x v="205"/>
    <s v="Taxi moto La Brigade de Recherche- Hôtel Mithé"/>
    <s v="Transport "/>
    <s v="Legal"/>
    <x v="294"/>
    <x v="618"/>
    <n v="560.94200000000001"/>
    <s v="Donald-Romeo"/>
    <s v="DR-AU-D1"/>
    <s v="PALF"/>
    <x v="5"/>
    <s v="Congo"/>
    <x v="0"/>
    <x v="0"/>
    <m/>
  </r>
  <r>
    <x v="205"/>
    <s v="Taxi moto, Hôtel Mithé2-Region de gendarmerie"/>
    <s v="Transport"/>
    <s v="Media"/>
    <x v="294"/>
    <x v="618"/>
    <n v="560.94200000000001"/>
    <s v="Evariste"/>
    <s v="EV-AU-D1"/>
    <s v="PALF"/>
    <x v="5"/>
    <s v="Congo"/>
    <x v="0"/>
    <x v="0"/>
    <m/>
  </r>
  <r>
    <x v="205"/>
    <s v="Taxi moto, Région de gendarmerie-Charden Farell"/>
    <s v="Transport"/>
    <s v="Media"/>
    <x v="294"/>
    <x v="618"/>
    <n v="560.94200000000001"/>
    <s v="Evariste"/>
    <s v="EV-AU-D1"/>
    <s v="PALF"/>
    <x v="5"/>
    <s v="Congo"/>
    <x v="0"/>
    <x v="0"/>
    <m/>
  </r>
  <r>
    <x v="205"/>
    <s v="Taxi moto, Charden Farell-Region de gendarmerie"/>
    <s v="Transport"/>
    <s v="Media"/>
    <x v="294"/>
    <x v="618"/>
    <n v="560.94200000000001"/>
    <s v="Evariste"/>
    <s v="EV-AU-D1"/>
    <s v="PALF"/>
    <x v="5"/>
    <s v="Congo"/>
    <x v="0"/>
    <x v="0"/>
    <m/>
  </r>
  <r>
    <x v="205"/>
    <s v="Taxi moto, Région de Gendarmerie-Hôtel Mithé2"/>
    <s v="Transport"/>
    <s v="Media"/>
    <x v="294"/>
    <x v="618"/>
    <n v="560.94200000000001"/>
    <s v="Evariste"/>
    <s v="EV-AU-D1"/>
    <s v="PALF"/>
    <x v="5"/>
    <s v="Congo"/>
    <x v="0"/>
    <x v="0"/>
    <m/>
  </r>
  <r>
    <x v="205"/>
    <s v="Bonus media portant sur le bilan des activités PALF de Janvier à Juillet pièces presse Internet (https://www.panoramik-actu.com)"/>
    <s v="Bonus to media officer"/>
    <s v="Media"/>
    <x v="63"/>
    <x v="665"/>
    <n v="560.94200000000001"/>
    <s v="Evariste"/>
    <s v="CA-AU-D1"/>
    <s v="PALF"/>
    <x v="5"/>
    <s v="Congo"/>
    <x v="0"/>
    <x v="0"/>
    <m/>
  </r>
  <r>
    <x v="205"/>
    <s v="Bonus media portant sur le bilan des activités PALF de Janvier à Juillet pièces presse Internet (https://www.tribune-eco.cg)"/>
    <s v="Bonus to media officer"/>
    <s v="Media"/>
    <x v="63"/>
    <x v="665"/>
    <n v="560.94200000000001"/>
    <s v="Evariste"/>
    <s v="CA-AU-D1"/>
    <s v="PALF"/>
    <x v="5"/>
    <s v="Congo"/>
    <x v="0"/>
    <x v="0"/>
    <m/>
  </r>
  <r>
    <x v="205"/>
    <s v="Bonus media portant sur le bilan des activités PALF de Janvier à Juillet pièces presse Internet (https://www.groupecongomedias.com)"/>
    <s v="Bonus to media officer"/>
    <s v="Media"/>
    <x v="63"/>
    <x v="665"/>
    <n v="560.94200000000001"/>
    <s v="Evariste"/>
    <s v="CA-AU-D1"/>
    <s v="PALF"/>
    <x v="5"/>
    <s v="Congo"/>
    <x v="0"/>
    <x v="0"/>
    <m/>
  </r>
  <r>
    <x v="205"/>
    <s v="Bonus media portant sur le bilan des activités PALF de Janvier à Juillet pièces presse Internet (https://www.labreveonline.com)"/>
    <s v="Bonus to media officer"/>
    <s v="Media"/>
    <x v="63"/>
    <x v="665"/>
    <n v="560.94200000000001"/>
    <s v="Evariste"/>
    <s v="CA-AU-D1"/>
    <s v="PALF"/>
    <x v="5"/>
    <s v="Congo"/>
    <x v="0"/>
    <x v="0"/>
    <m/>
  </r>
  <r>
    <x v="205"/>
    <s v="Bonus media portant sur le bilan des activités PALF de Janvier à Juillet pièces presse Internet (https://www.adiac-congo.com)"/>
    <s v="Bonus to media officer"/>
    <s v="Media"/>
    <x v="63"/>
    <x v="665"/>
    <n v="560.94200000000001"/>
    <s v="Evariste"/>
    <s v="CA-AU-D1"/>
    <s v="PALF"/>
    <x v="5"/>
    <s v="Congo"/>
    <x v="0"/>
    <x v="0"/>
    <m/>
  </r>
  <r>
    <x v="205"/>
    <s v="Bonus media portant sur le bilan des activités PALF de Janvier à Juillet pièces presse Internet (https://www.lasemaineafricaine.info)"/>
    <s v="Bonus to media officer"/>
    <s v="Media"/>
    <x v="63"/>
    <x v="665"/>
    <n v="560.94200000000001"/>
    <s v="Evariste"/>
    <s v="CA-AU-D1"/>
    <s v="PALF"/>
    <x v="5"/>
    <s v="Congo"/>
    <x v="0"/>
    <x v="0"/>
    <m/>
  </r>
  <r>
    <x v="205"/>
    <s v="Bonus media portant sur le bilan des activités PALF de Janvier à Juillet pièces presse Internet (https://www.matinlibre.cg)"/>
    <s v="Bonus to media officer"/>
    <s v="Media"/>
    <x v="63"/>
    <x v="665"/>
    <n v="560.94200000000001"/>
    <s v="Evariste"/>
    <s v="CA-AU-D1"/>
    <s v="PALF"/>
    <x v="5"/>
    <s v="Congo"/>
    <x v="0"/>
    <x v="0"/>
    <m/>
  </r>
  <r>
    <x v="205"/>
    <s v="Bonus media portant sur le bilan des activités PALF de Janvier à Juillet pièces presse Internet (https://www.firstmediac.com)"/>
    <s v="Bonus to media officer"/>
    <s v="Media"/>
    <x v="63"/>
    <x v="665"/>
    <n v="560.94200000000001"/>
    <s v="Evariste"/>
    <s v="CA-AU-D1"/>
    <s v="PALF"/>
    <x v="5"/>
    <s v="Congo"/>
    <x v="0"/>
    <x v="0"/>
    <m/>
  </r>
  <r>
    <x v="205"/>
    <s v="Bonus media portant sur le bilan des activités PALF de Janvier à Juillet pièces presse Internet (https://www.journaldebrazza.com)"/>
    <s v="Bonus to media officer"/>
    <s v="Media"/>
    <x v="63"/>
    <x v="665"/>
    <n v="560.94200000000001"/>
    <s v="Evariste"/>
    <s v="CA-AU-D1"/>
    <s v="PALF"/>
    <x v="5"/>
    <s v="Congo"/>
    <x v="0"/>
    <x v="0"/>
    <m/>
  </r>
  <r>
    <x v="205"/>
    <s v="Bonus media portant sur le bilan des activités PALF de Janvier à Juillet pièces presse Internet (https://vmmedias.info)"/>
    <s v="Bonus to media officer"/>
    <s v="Media"/>
    <x v="63"/>
    <x v="665"/>
    <n v="560.94200000000001"/>
    <s v="Evariste"/>
    <s v="CA-AU-D1"/>
    <s v="PALF"/>
    <x v="5"/>
    <s v="Congo"/>
    <x v="0"/>
    <x v="0"/>
    <m/>
  </r>
  <r>
    <x v="205"/>
    <s v="Bonus media portant sur le bilan des activités PALF de Janvier à Juillet pièces presse Internet (https://aci.cg)"/>
    <s v="Bonus to media officer"/>
    <s v="Media"/>
    <x v="63"/>
    <x v="665"/>
    <n v="560.94200000000001"/>
    <s v="Evariste"/>
    <s v="CA-AU-D1"/>
    <s v="PALF"/>
    <x v="5"/>
    <s v="Congo"/>
    <x v="0"/>
    <x v="0"/>
    <m/>
  </r>
  <r>
    <x v="205"/>
    <s v="Bonus media portant sur le bilan des activités PALF de Janvier à Juillet pièces presse Internet (https://lesechos-congobrazza.com/)"/>
    <s v="Bonus to media officer"/>
    <s v="Media"/>
    <x v="63"/>
    <x v="665"/>
    <n v="560.94200000000001"/>
    <s v="Evariste"/>
    <s v="CA-AU-D1"/>
    <s v="PALF"/>
    <x v="5"/>
    <s v="Congo"/>
    <x v="0"/>
    <x v="0"/>
    <m/>
  </r>
  <r>
    <x v="205"/>
    <s v="Bonus media portant sur le bilan des activités PALF de Janvier à Juillet pièces presse Internet (https://opinionpublique.cg)"/>
    <s v="Bonus to media officer"/>
    <s v="Media"/>
    <x v="63"/>
    <x v="665"/>
    <n v="560.94200000000001"/>
    <s v="Evariste"/>
    <s v="CA-AU-D1"/>
    <s v="PALF"/>
    <x v="5"/>
    <s v="Congo"/>
    <x v="0"/>
    <x v="0"/>
    <m/>
  </r>
  <r>
    <x v="205"/>
    <s v="Bonus media portant sur le bilan des activités PALF de Janvier à Juillet pièces presse Internet (https://www.lhorizonafricain.com)"/>
    <s v="Bonus to media officer"/>
    <s v="Media"/>
    <x v="63"/>
    <x v="665"/>
    <n v="560.94200000000001"/>
    <s v="Evariste"/>
    <s v="CA-AU-D1"/>
    <s v="PALF"/>
    <x v="5"/>
    <s v="Congo"/>
    <x v="0"/>
    <x v="0"/>
    <m/>
  </r>
  <r>
    <x v="205"/>
    <s v="Bonus media portant sur le bilan des activités PALF de Janvier à Juillet pièces presse Papier (Dépêches de Brazzaville)"/>
    <s v="Bonus to media officer"/>
    <s v="Media"/>
    <x v="4"/>
    <x v="626"/>
    <n v="560.94200000000001"/>
    <s v="Evariste"/>
    <s v="CA-AU-D2"/>
    <s v="PALF"/>
    <x v="5"/>
    <s v="Congo"/>
    <x v="0"/>
    <x v="0"/>
    <m/>
  </r>
  <r>
    <x v="205"/>
    <s v="Bonus media portant sur le bilan des activités PALF de Janvier à Juillet pièces presse Papier (la semaine Africaine)"/>
    <s v="Bonus to media officer"/>
    <s v="Media"/>
    <x v="4"/>
    <x v="626"/>
    <n v="560.94200000000001"/>
    <s v="Evariste"/>
    <s v="CA-AU-D2"/>
    <s v="PALF"/>
    <x v="5"/>
    <s v="Congo"/>
    <x v="0"/>
    <x v="0"/>
    <m/>
  </r>
  <r>
    <x v="205"/>
    <s v="Bonus media portant sur le bilan des activités PALF de Janvier à Juillet pièces presse Papier( l'horizon Africain)"/>
    <s v="Bonus to media officer"/>
    <s v="Media"/>
    <x v="4"/>
    <x v="626"/>
    <n v="560.94200000000001"/>
    <s v="Evariste"/>
    <s v="CA-AU-D2"/>
    <s v="PALF"/>
    <x v="5"/>
    <s v="Congo"/>
    <x v="0"/>
    <x v="0"/>
    <m/>
  </r>
  <r>
    <x v="205"/>
    <s v="Bonus media portant sur le bilan des activités PALF de Janvier à Juillet pièces presse Papier (l'Agence congolaise de l'information)"/>
    <s v="Bonus to media officer"/>
    <s v="Media"/>
    <x v="4"/>
    <x v="626"/>
    <n v="560.94200000000001"/>
    <s v="Evariste"/>
    <s v="CA-AU-D2"/>
    <s v="PALF"/>
    <x v="5"/>
    <s v="Congo"/>
    <x v="0"/>
    <x v="0"/>
    <m/>
  </r>
  <r>
    <x v="205"/>
    <s v="Bonus media portant sur le bilan des activités PALF de Janvier à Juillet pièces Radio, (Radio Citoyenne des Jeunes)"/>
    <s v="Bonus to media officer"/>
    <s v="Media"/>
    <x v="63"/>
    <x v="665"/>
    <n v="560.94200000000001"/>
    <s v="Evariste"/>
    <s v="CA-AU-D3"/>
    <s v="PALF"/>
    <x v="5"/>
    <s v="Congo"/>
    <x v="0"/>
    <x v="0"/>
    <m/>
  </r>
  <r>
    <x v="205"/>
    <s v="Taxi: Bureau-Charden Farell/Pour le transfert d'argent"/>
    <s v="Transport"/>
    <s v="Legal"/>
    <x v="294"/>
    <x v="618"/>
    <n v="560.94200000000001"/>
    <s v="Romain"/>
    <s v="RM-AU-D1"/>
    <s v="PALF"/>
    <x v="5"/>
    <s v="Congo"/>
    <x v="0"/>
    <x v="0"/>
    <m/>
  </r>
  <r>
    <x v="205"/>
    <s v="Frais de tansfert d'argent à Evariste"/>
    <s v="Transfert fees"/>
    <s v="Office"/>
    <x v="322"/>
    <x v="666"/>
    <n v="560.94200000000001"/>
    <s v="Romain"/>
    <s v="CA-AU-R12"/>
    <s v="PALF"/>
    <x v="5"/>
    <s v="Congo"/>
    <x v="0"/>
    <x v="0"/>
    <m/>
  </r>
  <r>
    <x v="205"/>
    <s v="Taxi: Charden Farell-Bureau"/>
    <s v="Transport"/>
    <s v="Legal"/>
    <x v="294"/>
    <x v="618"/>
    <n v="560.94200000000001"/>
    <s v="Romain"/>
    <s v="RM-AU-D1"/>
    <s v="PALF"/>
    <x v="5"/>
    <s v="Congo"/>
    <x v="0"/>
    <x v="0"/>
    <m/>
  </r>
  <r>
    <x v="206"/>
    <s v="Maison-Bureau"/>
    <s v="Transport"/>
    <s v="Management"/>
    <x v="24"/>
    <x v="608"/>
    <n v="560.94200000000001"/>
    <s v="DOVI"/>
    <s v="DH-AU-D1"/>
    <s v="PALF"/>
    <x v="5"/>
    <s v="Congo"/>
    <x v="0"/>
    <x v="0"/>
    <m/>
  </r>
  <r>
    <x v="206"/>
    <s v="Bureau-Maison"/>
    <s v="Transport"/>
    <s v="Management"/>
    <x v="24"/>
    <x v="608"/>
    <n v="560.94200000000001"/>
    <s v="DOVI"/>
    <s v="DH-AU-D1"/>
    <s v="PALF"/>
    <x v="5"/>
    <s v="Congo"/>
    <x v="0"/>
    <x v="0"/>
    <m/>
  </r>
  <r>
    <x v="206"/>
    <s v="Taxi moto: Hôtel-Gendarmerie"/>
    <s v="Transport"/>
    <s v="Legal"/>
    <x v="294"/>
    <x v="618"/>
    <n v="560.94200000000001"/>
    <s v="Crépin"/>
    <s v="CR-AU-D1"/>
    <s v="PALF"/>
    <x v="5"/>
    <s v="Congo"/>
    <x v="0"/>
    <x v="0"/>
    <m/>
  </r>
  <r>
    <x v="206"/>
    <s v="Taxi moto: Gendarmerie-Hôtel Mithé"/>
    <s v="Transport"/>
    <s v="Legal"/>
    <x v="294"/>
    <x v="618"/>
    <n v="560.94200000000001"/>
    <s v="Crépin"/>
    <s v="CR-AU-D1"/>
    <s v="PALF"/>
    <x v="5"/>
    <s v="Congo"/>
    <x v="0"/>
    <x v="0"/>
    <m/>
  </r>
  <r>
    <x v="206"/>
    <s v=" Frais de prestation de nettoyage jardin PALF Août 2025"/>
    <s v="Services"/>
    <s v="Office"/>
    <x v="0"/>
    <x v="640"/>
    <n v="560.94200000000001"/>
    <s v="Parfaite"/>
    <s v="CA-AU-R16"/>
    <s v="PALF"/>
    <x v="5"/>
    <s v="Congo"/>
    <x v="0"/>
    <x v="0"/>
    <m/>
  </r>
  <r>
    <x v="206"/>
    <s v="Reglement prestation de nettoyage  PALF du mois de Août 2025"/>
    <s v="Services"/>
    <s v="Office"/>
    <x v="73"/>
    <x v="667"/>
    <n v="560.94200000000001"/>
    <s v="Parfaite"/>
    <s v="CA-AU-R17"/>
    <s v="PALF"/>
    <x v="5"/>
    <s v="Congo"/>
    <x v="0"/>
    <x v="0"/>
    <m/>
  </r>
  <r>
    <x v="206"/>
    <s v="Frais de tansfert d'argent à crépin, Donald-Roméo et Evariste "/>
    <s v="Transfert fees"/>
    <s v="Office"/>
    <x v="323"/>
    <x v="668"/>
    <n v="560.94200000000001"/>
    <s v="Parfaite"/>
    <s v="CA-AU-R18"/>
    <s v="PALF"/>
    <x v="5"/>
    <s v="Congo"/>
    <x v="0"/>
    <x v="0"/>
    <m/>
  </r>
  <r>
    <x v="206"/>
    <s v="Taxi : Bureau - Mitoko/ Prospection"/>
    <s v="Transport"/>
    <s v="Investigation"/>
    <x v="70"/>
    <x v="615"/>
    <n v="560.94200000000001"/>
    <s v="IT87"/>
    <s v="IT87-AU-D1"/>
    <s v="PALF"/>
    <x v="5"/>
    <s v="Congo"/>
    <x v="0"/>
    <x v="0"/>
    <m/>
  </r>
  <r>
    <x v="206"/>
    <s v="Taxi : Mitoko - PK/ Prospection"/>
    <s v="Transport"/>
    <s v="Investigation"/>
    <x v="70"/>
    <x v="615"/>
    <n v="560.94200000000001"/>
    <s v="IT87"/>
    <s v="IT87-AU-D1"/>
    <s v="PALF"/>
    <x v="5"/>
    <s v="Congo"/>
    <x v="0"/>
    <x v="0"/>
    <m/>
  </r>
  <r>
    <x v="206"/>
    <s v="Taxi : PK - Kinsoundi/ Prospection"/>
    <s v="Transport"/>
    <s v="Investigation"/>
    <x v="24"/>
    <x v="608"/>
    <n v="560.94200000000001"/>
    <s v="IT87"/>
    <s v="IT87-AU-D1"/>
    <s v="PALF"/>
    <x v="5"/>
    <s v="Congo"/>
    <x v="0"/>
    <x v="0"/>
    <m/>
  </r>
  <r>
    <x v="206"/>
    <s v="Taxi : Kinsoundi - Domicile/ Retour de prospection"/>
    <s v="Transport"/>
    <s v="Investigation"/>
    <x v="120"/>
    <x v="614"/>
    <n v="560.94200000000001"/>
    <s v="IT87"/>
    <s v="IT87-AU-D1"/>
    <s v="PALF"/>
    <x v="5"/>
    <s v="Congo"/>
    <x v="0"/>
    <x v="0"/>
    <m/>
  </r>
  <r>
    <x v="206"/>
    <s v="Taxi:Bureau-Agence océan du nord de la liberté pour la reservation des billets "/>
    <s v="Transport"/>
    <s v="Legal"/>
    <x v="24"/>
    <x v="608"/>
    <n v="560.94200000000001"/>
    <s v="Roderlin"/>
    <s v="RO-AU-D1"/>
    <s v="PALF"/>
    <x v="5"/>
    <s v="Congo"/>
    <x v="0"/>
    <x v="0"/>
    <m/>
  </r>
  <r>
    <x v="206"/>
    <s v="Taxi:Agence Océan du nord de la liberté-Bureau"/>
    <s v="Transport"/>
    <s v="Legal"/>
    <x v="24"/>
    <x v="608"/>
    <n v="560.94200000000001"/>
    <s v="Roderlin"/>
    <s v="RO-AU-D1"/>
    <s v="PALF"/>
    <x v="5"/>
    <s v="Congo"/>
    <x v="0"/>
    <x v="0"/>
    <m/>
  </r>
  <r>
    <x v="206"/>
    <s v="Frais de transport mission Maitre Alain à Impfondo du 28 /08au 01/09/2025"/>
    <s v="Transport"/>
    <s v="Legal"/>
    <x v="324"/>
    <x v="669"/>
    <n v="560.94200000000001"/>
    <s v="Roderlin"/>
    <s v="CA-AU-R14"/>
    <s v="PALF"/>
    <x v="5"/>
    <s v="Congo"/>
    <x v="0"/>
    <x v="0"/>
    <m/>
  </r>
  <r>
    <x v="206"/>
    <s v="Ration et frais d'hotel mission maitre Alain à Impfondo du 28/08 au 01/09/2025"/>
    <s v="Travel Subsistence"/>
    <s v="Legal"/>
    <x v="13"/>
    <x v="670"/>
    <n v="560.94200000000001"/>
    <s v="Roderlin"/>
    <s v="CA-AU-R15"/>
    <s v="PALF"/>
    <x v="5"/>
    <s v="Congo"/>
    <x v="0"/>
    <x v="0"/>
    <m/>
  </r>
  <r>
    <x v="206"/>
    <s v="Taxi:Bureau-Cabinet BANZOUZI pour la rémise du budget"/>
    <s v="Transport"/>
    <s v="Legal"/>
    <x v="24"/>
    <x v="608"/>
    <n v="560.94200000000001"/>
    <s v="Roderlin"/>
    <s v="RO-AU-D1"/>
    <s v="PALF"/>
    <x v="5"/>
    <s v="Congo"/>
    <x v="0"/>
    <x v="0"/>
    <m/>
  </r>
  <r>
    <x v="206"/>
    <s v="Taxi:Cabinet BANZOUZI-Bureau"/>
    <s v="Transport"/>
    <s v="Legal"/>
    <x v="24"/>
    <x v="608"/>
    <n v="560.94200000000001"/>
    <s v="Roderlin"/>
    <s v="RO-AU-D1"/>
    <s v="PALF"/>
    <x v="5"/>
    <s v="Congo"/>
    <x v="0"/>
    <x v="0"/>
    <m/>
  </r>
  <r>
    <x v="206"/>
    <s v="Taxi moto Hôtel Mithé-La Brigade de Recherche/ Pour la visite geôle du 27/08/2025 à 07h"/>
    <s v="Transport "/>
    <s v="Legal"/>
    <x v="294"/>
    <x v="618"/>
    <n v="560.94200000000001"/>
    <s v="Donald-Romeo"/>
    <s v="DR-AU-D1"/>
    <s v="PALF"/>
    <x v="5"/>
    <s v="Congo"/>
    <x v="0"/>
    <x v="0"/>
    <m/>
  </r>
  <r>
    <x v="206"/>
    <s v="Ration d'une prevenue/ MOUKAHOU Clarisse/ A la gandarmerie d'Impfondo/Matin"/>
    <s v="Jail visit"/>
    <s v="Legal"/>
    <x v="120"/>
    <x v="614"/>
    <n v="560.94200000000001"/>
    <s v="Donald-Romeo"/>
    <s v="DR-AU-D3"/>
    <s v="PALF"/>
    <x v="5"/>
    <s v="Congo"/>
    <x v="0"/>
    <x v="0"/>
    <m/>
  </r>
  <r>
    <x v="206"/>
    <s v="Taxi moto La Brigade de Recherche- Hôtel Mithé"/>
    <s v="Transport "/>
    <s v="Legal"/>
    <x v="294"/>
    <x v="618"/>
    <n v="560.94200000000001"/>
    <s v="Donald-Romeo"/>
    <s v="DR-AU-D1"/>
    <s v="PALF"/>
    <x v="5"/>
    <s v="Congo"/>
    <x v="0"/>
    <x v="0"/>
    <m/>
  </r>
  <r>
    <x v="206"/>
    <s v="Taxi moto Hôtel Mithé-La gendarmerie/ Comptages des écailles"/>
    <s v="Transport "/>
    <s v="Legal"/>
    <x v="294"/>
    <x v="618"/>
    <n v="560.94200000000001"/>
    <s v="Donald-Romeo"/>
    <s v="DR-AU-D1"/>
    <s v="PALF"/>
    <x v="5"/>
    <s v="Congo"/>
    <x v="0"/>
    <x v="0"/>
    <m/>
  </r>
  <r>
    <x v="206"/>
    <s v="Taxi moto La gendarmerie- DDEF/ Saisie de la procédure"/>
    <s v="Transport "/>
    <s v="Legal"/>
    <x v="294"/>
    <x v="618"/>
    <n v="560.94200000000001"/>
    <s v="Donald-Romeo"/>
    <s v="DR-AU-D1"/>
    <s v="PALF"/>
    <x v="5"/>
    <s v="Congo"/>
    <x v="0"/>
    <x v="0"/>
    <m/>
  </r>
  <r>
    <x v="206"/>
    <s v="Taxi moto DDEF-Charden farell/ Retrait de fonds"/>
    <s v="Transport "/>
    <s v="Legal"/>
    <x v="294"/>
    <x v="618"/>
    <n v="560.94200000000001"/>
    <s v="Donald-Romeo"/>
    <s v="DR-AU-D1"/>
    <s v="PALF"/>
    <x v="5"/>
    <s v="Congo"/>
    <x v="0"/>
    <x v="0"/>
    <m/>
  </r>
  <r>
    <x v="206"/>
    <s v="Taxi moto Charden farell-Hôtel Mithé"/>
    <s v="Transport "/>
    <s v="Legal"/>
    <x v="294"/>
    <x v="618"/>
    <n v="560.94200000000001"/>
    <s v="Donald-Romeo"/>
    <s v="DR-AU-D1"/>
    <s v="PALF"/>
    <x v="5"/>
    <s v="Congo"/>
    <x v="0"/>
    <x v="0"/>
    <m/>
  </r>
  <r>
    <x v="206"/>
    <s v="Taxi moto Hôtel Mithé-La Brigade de Recherche/ Pour la visite geôle du 27/08/2025 à 20h"/>
    <s v="Transport "/>
    <s v="Legal"/>
    <x v="294"/>
    <x v="618"/>
    <n v="560.94200000000001"/>
    <s v="Donald-Romeo"/>
    <s v="DR-AU-D1"/>
    <s v="PALF"/>
    <x v="5"/>
    <s v="Congo"/>
    <x v="0"/>
    <x v="0"/>
    <m/>
  </r>
  <r>
    <x v="206"/>
    <s v="Ration d'une prevenue/ MOUKAHOU Clarisse/ A la gandarmerie d'Impfondo/Soir"/>
    <s v="Jail visit"/>
    <s v="Legal"/>
    <x v="120"/>
    <x v="614"/>
    <n v="560.94200000000001"/>
    <s v="Donald-Romeo"/>
    <s v="DR-AU-D3"/>
    <s v="PALF"/>
    <x v="5"/>
    <s v="Congo"/>
    <x v="0"/>
    <x v="0"/>
    <m/>
  </r>
  <r>
    <x v="206"/>
    <s v="Taxi moto La Brigade de Recherche- Hôtel Mithé"/>
    <s v="Transport "/>
    <s v="Legal"/>
    <x v="294"/>
    <x v="618"/>
    <n v="560.94200000000001"/>
    <s v="Donald-Romeo"/>
    <s v="DR-AU-D1"/>
    <s v="PALF"/>
    <x v="5"/>
    <s v="Congo"/>
    <x v="0"/>
    <x v="0"/>
    <m/>
  </r>
  <r>
    <x v="206"/>
    <s v="Taxi moto, Hôtel Mithé2-Région de Gendarmerie"/>
    <s v="Transport"/>
    <s v="Media"/>
    <x v="294"/>
    <x v="618"/>
    <n v="560.94200000000001"/>
    <s v="Evariste"/>
    <s v="EV-AU-D1"/>
    <s v="PALF"/>
    <x v="5"/>
    <s v="Congo"/>
    <x v="0"/>
    <x v="0"/>
    <m/>
  </r>
  <r>
    <x v="206"/>
    <s v="Taxi moto, Région de Gendarmerie-Hôtel Mithé2"/>
    <s v="Transport"/>
    <s v="Media"/>
    <x v="294"/>
    <x v="618"/>
    <n v="560.94200000000001"/>
    <s v="Evariste"/>
    <s v="EV-AU-D1"/>
    <s v="PALF"/>
    <x v="5"/>
    <s v="Congo"/>
    <x v="0"/>
    <x v="0"/>
    <m/>
  </r>
  <r>
    <x v="207"/>
    <s v=" Achat billet Brazzaville-Impfondo / Roderlin"/>
    <s v="Transport"/>
    <s v="Legal"/>
    <x v="303"/>
    <x v="617"/>
    <n v="560.94200000000001"/>
    <s v="Roderlin"/>
    <s v="RO-AU-R7"/>
    <s v="PALF"/>
    <x v="5"/>
    <s v="Congo"/>
    <x v="0"/>
    <x v="0"/>
    <m/>
  </r>
  <r>
    <x v="207"/>
    <s v="Maison-Bureau"/>
    <s v="Transport"/>
    <s v="Management"/>
    <x v="24"/>
    <x v="608"/>
    <n v="560.94200000000001"/>
    <s v="DOVI"/>
    <s v="DH-AU-D1"/>
    <s v="PALF"/>
    <x v="5"/>
    <s v="Congo"/>
    <x v="0"/>
    <x v="0"/>
    <m/>
  </r>
  <r>
    <x v="207"/>
    <s v="Bureau-Cabinet d'huissier"/>
    <s v="Transport"/>
    <s v="Management"/>
    <x v="24"/>
    <x v="608"/>
    <n v="560.94200000000001"/>
    <s v="DOVI"/>
    <s v="DH-AU-D1"/>
    <s v="PALF"/>
    <x v="5"/>
    <s v="Congo"/>
    <x v="0"/>
    <x v="0"/>
    <m/>
  </r>
  <r>
    <x v="207"/>
    <s v="Cabinet d'huissier - Bureau"/>
    <s v="Transport"/>
    <s v="Management"/>
    <x v="24"/>
    <x v="608"/>
    <n v="560.94200000000001"/>
    <s v="DOVI"/>
    <s v="DH-AU-D1"/>
    <s v="PALF"/>
    <x v="5"/>
    <s v="Congo"/>
    <x v="0"/>
    <x v="0"/>
    <m/>
  </r>
  <r>
    <x v="207"/>
    <s v="Bureau-Maison"/>
    <s v="Transport"/>
    <s v="Management"/>
    <x v="24"/>
    <x v="608"/>
    <n v="560.94200000000001"/>
    <s v="DOVI"/>
    <s v="DH-AU-D1"/>
    <s v="PALF"/>
    <x v="5"/>
    <s v="Congo"/>
    <x v="0"/>
    <x v="0"/>
    <m/>
  </r>
  <r>
    <x v="207"/>
    <s v="Taxi moto: Hôtel-Gendarmerie"/>
    <s v="Transport"/>
    <s v="Legal"/>
    <x v="294"/>
    <x v="618"/>
    <n v="560.94200000000001"/>
    <s v="Crépin"/>
    <s v="CR-AU-D1"/>
    <s v="PALF"/>
    <x v="5"/>
    <s v="Congo"/>
    <x v="0"/>
    <x v="0"/>
    <m/>
  </r>
  <r>
    <x v="207"/>
    <s v="Taxi moto: Gendarmerie-Hôtel"/>
    <s v="Transport"/>
    <s v="Legal"/>
    <x v="294"/>
    <x v="618"/>
    <n v="560.94200000000001"/>
    <s v="Crépin"/>
    <s v="CR-AU-D1"/>
    <s v="PALF"/>
    <x v="5"/>
    <s v="Congo"/>
    <x v="0"/>
    <x v="0"/>
    <m/>
  </r>
  <r>
    <x v="207"/>
    <s v="Taxi moto hotel-marché,pour prospection"/>
    <s v="Transport"/>
    <s v="Investigation"/>
    <x v="294"/>
    <x v="618"/>
    <n v="560.94200000000001"/>
    <s v="P29"/>
    <s v="P29-AU-D1"/>
    <s v="PALF"/>
    <x v="5"/>
    <s v="Congo"/>
    <x v="0"/>
    <x v="0"/>
    <m/>
  </r>
  <r>
    <x v="207"/>
    <s v="Taxi moto marché-centre,prospection"/>
    <s v="Transport"/>
    <s v="Investigation"/>
    <x v="294"/>
    <x v="618"/>
    <n v="560.94200000000001"/>
    <s v="P29"/>
    <s v="P29-AU-D1"/>
    <s v="PALF"/>
    <x v="5"/>
    <s v="Congo"/>
    <x v="0"/>
    <x v="0"/>
    <m/>
  </r>
  <r>
    <x v="207"/>
    <s v="Taxi moto centre-hotel"/>
    <s v="Transport"/>
    <s v="Investigation"/>
    <x v="294"/>
    <x v="618"/>
    <n v="560.94200000000001"/>
    <s v="P29"/>
    <s v="P29-AU-D1"/>
    <s v="PALF"/>
    <x v="5"/>
    <s v="Congo"/>
    <x v="0"/>
    <x v="0"/>
    <m/>
  </r>
  <r>
    <x v="207"/>
    <s v="Taxi: Domicile - marché  tagoma / prospection"/>
    <s v="Transport"/>
    <s v="Investigation"/>
    <x v="24"/>
    <x v="608"/>
    <n v="560.94200000000001"/>
    <s v="G12"/>
    <s v="G12-AU-D1"/>
    <s v="PALF"/>
    <x v="5"/>
    <s v="Congo"/>
    <x v="0"/>
    <x v="0"/>
    <m/>
  </r>
  <r>
    <x v="207"/>
    <s v="Taxi:Macrché tagoma - 5 chemin / prospection"/>
    <s v="Transport"/>
    <s v="Investigation"/>
    <x v="24"/>
    <x v="608"/>
    <n v="560.94200000000001"/>
    <s v="G12"/>
    <s v="G12-AU-D1"/>
    <s v="PALF"/>
    <x v="5"/>
    <s v="Congo"/>
    <x v="0"/>
    <x v="0"/>
    <m/>
  </r>
  <r>
    <x v="207"/>
    <s v="Taxi:5 chemin - matour / prospection"/>
    <s v="Transport"/>
    <s v="Investigation"/>
    <x v="24"/>
    <x v="608"/>
    <n v="560.94200000000001"/>
    <s v="G12"/>
    <s v="G12-AU-D1"/>
    <s v="PALF"/>
    <x v="5"/>
    <s v="Congo"/>
    <x v="0"/>
    <x v="0"/>
    <m/>
  </r>
  <r>
    <x v="207"/>
    <s v="Taxi: Matour: domicile"/>
    <s v="Transport"/>
    <s v="Investigation"/>
    <x v="24"/>
    <x v="608"/>
    <n v="560.94200000000001"/>
    <s v="G12"/>
    <s v="G12-AU-D1"/>
    <s v="PALF"/>
    <x v="5"/>
    <s v="Congo"/>
    <x v="0"/>
    <x v="0"/>
    <m/>
  </r>
  <r>
    <x v="207"/>
    <s v="Taxi:Domicile-Agence Océan du nord de Talangaî "/>
    <s v="Transport"/>
    <s v="Legal"/>
    <x v="24"/>
    <x v="608"/>
    <n v="560.94200000000001"/>
    <s v="Roderlin"/>
    <s v="RO-AU-D1"/>
    <s v="PALF"/>
    <x v="5"/>
    <s v="Congo"/>
    <x v="0"/>
    <x v="0"/>
    <m/>
  </r>
  <r>
    <x v="207"/>
    <s v="Taxi:Agence Océan du nord de Ouesso-Hôtel Divine "/>
    <s v="Transport"/>
    <s v="Legal"/>
    <x v="294"/>
    <x v="618"/>
    <n v="560.94200000000001"/>
    <s v="Roderlin"/>
    <s v="RO-AU-D1"/>
    <s v="PALF"/>
    <x v="5"/>
    <s v="Congo"/>
    <x v="0"/>
    <x v="0"/>
    <m/>
  </r>
  <r>
    <x v="207"/>
    <s v="RODERLIN-CONGO Ration du 28/08/ au 01/09/2025 à Ouesso/Enyele/ Impfondo (04 nuitées)"/>
    <s v="Travel Subsistence"/>
    <s v="Legal"/>
    <x v="145"/>
    <x v="671"/>
    <n v="560.94200000000001"/>
    <s v="Roderlin"/>
    <s v="RO-AU-D4"/>
    <s v="PALF"/>
    <x v="5"/>
    <s v="Congo"/>
    <x v="0"/>
    <x v="0"/>
    <m/>
  </r>
  <r>
    <x v="207"/>
    <s v="Taxi moto Hôtel Mithé-La Brigade de Recherche/ Pour la visite geôle du 28/08/2025 à 07h"/>
    <s v="Transport "/>
    <s v="Legal"/>
    <x v="294"/>
    <x v="618"/>
    <n v="560.94200000000001"/>
    <s v="Donald-Romeo"/>
    <s v="DR-AU-D1"/>
    <s v="PALF"/>
    <x v="5"/>
    <s v="Congo"/>
    <x v="0"/>
    <x v="0"/>
    <m/>
  </r>
  <r>
    <x v="207"/>
    <s v="Ration d'une prevenue/ MOUKAHOU Clarisse/ A la gandarmerie d'Impfondo/Matin"/>
    <s v="Jail visit"/>
    <s v="Legal"/>
    <x v="120"/>
    <x v="614"/>
    <n v="560.94200000000001"/>
    <s v="Donald-Romeo"/>
    <s v="DR-AU-D3"/>
    <s v="PALF"/>
    <x v="5"/>
    <s v="Congo"/>
    <x v="0"/>
    <x v="0"/>
    <m/>
  </r>
  <r>
    <x v="207"/>
    <s v="Taxi moto La Brigade de Recherche- Hôtel Mithé"/>
    <s v="Transport "/>
    <s v="Legal"/>
    <x v="294"/>
    <x v="618"/>
    <n v="560.94200000000001"/>
    <s v="Donald-Romeo"/>
    <s v="DR-AU-D1"/>
    <s v="PALF"/>
    <x v="5"/>
    <s v="Congo"/>
    <x v="0"/>
    <x v="0"/>
    <m/>
  </r>
  <r>
    <x v="207"/>
    <s v="Taxi moto Hôtel Mithé-La gendarmerie/ Comptages des écailles"/>
    <s v="Transport "/>
    <s v="Legal"/>
    <x v="294"/>
    <x v="618"/>
    <n v="560.94200000000001"/>
    <s v="Donald-Romeo"/>
    <s v="DR-AU-D1"/>
    <s v="PALF"/>
    <x v="5"/>
    <s v="Congo"/>
    <x v="0"/>
    <x v="0"/>
    <m/>
  </r>
  <r>
    <x v="207"/>
    <s v="Taxi moto La gendarmerie- DDEF/ Saisie de la procédure"/>
    <s v="Transport "/>
    <s v="Legal"/>
    <x v="294"/>
    <x v="618"/>
    <n v="560.94200000000001"/>
    <s v="Donald-Romeo"/>
    <s v="DR-AU-D1"/>
    <s v="PALF"/>
    <x v="5"/>
    <s v="Congo"/>
    <x v="0"/>
    <x v="0"/>
    <m/>
  </r>
  <r>
    <x v="207"/>
    <s v="Taxi moto DDEF-Hôtel Mithé"/>
    <s v="Transport "/>
    <s v="Legal"/>
    <x v="294"/>
    <x v="618"/>
    <n v="560.94200000000001"/>
    <s v="Donald-Romeo"/>
    <s v="DR-AU-D1"/>
    <s v="PALF"/>
    <x v="5"/>
    <s v="Congo"/>
    <x v="0"/>
    <x v="0"/>
    <m/>
  </r>
  <r>
    <x v="207"/>
    <s v="Taxi moto Hôtel Mithé-La Brigade de Recherche/ Pour la visite geôle du 28/08/2025 à 20h"/>
    <s v="Transport "/>
    <s v="Legal"/>
    <x v="294"/>
    <x v="618"/>
    <n v="560.94200000000001"/>
    <s v="Donald-Romeo"/>
    <s v="DR-AU-D1"/>
    <s v="PALF"/>
    <x v="5"/>
    <s v="Congo"/>
    <x v="0"/>
    <x v="0"/>
    <m/>
  </r>
  <r>
    <x v="207"/>
    <s v="Ration d'une prevenue/ MOUKAHOU Clarisse/ A la gandarmerie d'Impfondo/Soir"/>
    <s v="Jail visit"/>
    <s v="Legal"/>
    <x v="120"/>
    <x v="614"/>
    <n v="560.94200000000001"/>
    <s v="Donald-Romeo"/>
    <s v="DR-AU-D3"/>
    <s v="PALF"/>
    <x v="5"/>
    <s v="Congo"/>
    <x v="0"/>
    <x v="0"/>
    <m/>
  </r>
  <r>
    <x v="207"/>
    <s v="Taxi moto La Brigade de Recherche- Hôtel Mithé"/>
    <s v="Transport "/>
    <s v="Legal"/>
    <x v="294"/>
    <x v="618"/>
    <n v="560.94200000000001"/>
    <s v="Donald-Romeo"/>
    <s v="DR-AU-D1"/>
    <s v="PALF"/>
    <x v="5"/>
    <s v="Congo"/>
    <x v="0"/>
    <x v="0"/>
    <m/>
  </r>
  <r>
    <x v="207"/>
    <s v="Taxi moto, Hôtel Mithé2-Agence Océan du Nord d'Impfondo"/>
    <s v="Transport"/>
    <s v="Media"/>
    <x v="294"/>
    <x v="618"/>
    <n v="560.94200000000001"/>
    <s v="Evariste"/>
    <s v="EV-AU-D1"/>
    <s v="PALF"/>
    <x v="5"/>
    <s v="Congo"/>
    <x v="0"/>
    <x v="0"/>
    <m/>
  </r>
  <r>
    <x v="207"/>
    <s v="Taxi moto, Agence Océan du Nord d'Impfondo-Hôtel Mité 2"/>
    <s v="Transport"/>
    <s v="Media"/>
    <x v="294"/>
    <x v="618"/>
    <n v="560.94200000000001"/>
    <s v="Evariste"/>
    <s v="EV-AU-D1"/>
    <s v="PALF"/>
    <x v="5"/>
    <s v="Congo"/>
    <x v="0"/>
    <x v="0"/>
    <m/>
  </r>
  <r>
    <x v="208"/>
    <s v="Maison-Cabinet d'huissier"/>
    <s v="Transport"/>
    <s v="Management"/>
    <x v="24"/>
    <x v="608"/>
    <n v="560.94200000000001"/>
    <s v="DOVI"/>
    <s v="DH-AU-D1"/>
    <s v="PALF"/>
    <x v="5"/>
    <s v="Congo"/>
    <x v="0"/>
    <x v="0"/>
    <m/>
  </r>
  <r>
    <x v="208"/>
    <s v="Cabinet d'huissier - Bureau"/>
    <s v="Transport"/>
    <s v="Management"/>
    <x v="24"/>
    <x v="608"/>
    <n v="560.94200000000001"/>
    <s v="DOVI"/>
    <s v="DH-AU-D1"/>
    <s v="PALF"/>
    <x v="5"/>
    <s v="Congo"/>
    <x v="0"/>
    <x v="0"/>
    <m/>
  </r>
  <r>
    <x v="208"/>
    <s v="Bureau-Maison"/>
    <s v="Transport"/>
    <s v="Management"/>
    <x v="24"/>
    <x v="608"/>
    <n v="560.94200000000001"/>
    <s v="DOVI"/>
    <s v="DH-AU-D1"/>
    <s v="PALF"/>
    <x v="5"/>
    <s v="Congo"/>
    <x v="0"/>
    <x v="0"/>
    <m/>
  </r>
  <r>
    <x v="208"/>
    <s v="Taxi moto: Hôtel-Parquet"/>
    <s v="Transport"/>
    <s v="Legal"/>
    <x v="294"/>
    <x v="618"/>
    <n v="560.94200000000001"/>
    <s v="Crépin"/>
    <s v="CR-AU-D1"/>
    <s v="PALF"/>
    <x v="5"/>
    <s v="Congo"/>
    <x v="0"/>
    <x v="0"/>
    <m/>
  </r>
  <r>
    <x v="208"/>
    <s v="Taxi moto: Parquet-Hôtel"/>
    <s v="Transport"/>
    <s v="Legal"/>
    <x v="294"/>
    <x v="618"/>
    <n v="560.94200000000001"/>
    <s v="Crépin"/>
    <s v="CR-AU-D1"/>
    <s v="PALF"/>
    <x v="5"/>
    <s v="Congo"/>
    <x v="0"/>
    <x v="0"/>
    <m/>
  </r>
  <r>
    <x v="208"/>
    <s v="Taxi:Bureau- Direction Canal Box/ Paiement internet du mois deSeptembre2025"/>
    <s v="Transport"/>
    <s v="Office"/>
    <x v="24"/>
    <x v="608"/>
    <n v="560.94200000000001"/>
    <s v="Parfaite"/>
    <s v="P-AU-D1"/>
    <s v="PALF"/>
    <x v="5"/>
    <s v="Congo"/>
    <x v="0"/>
    <x v="0"/>
    <m/>
  </r>
  <r>
    <x v="208"/>
    <s v="Taxi: Direction Canal Box-Bureau/ Paiement internet du mois de Septembre 2025"/>
    <s v="Transport"/>
    <s v="Office"/>
    <x v="24"/>
    <x v="608"/>
    <n v="560.94200000000001"/>
    <s v="Parfaite"/>
    <s v="P-AU-D1"/>
    <s v="PALF"/>
    <x v="5"/>
    <s v="Congo"/>
    <x v="0"/>
    <x v="0"/>
    <m/>
  </r>
  <r>
    <x v="208"/>
    <s v="Frais de ramassage Ordure d'Août 2025"/>
    <s v="Rent &amp; Utilities"/>
    <s v="Office"/>
    <x v="63"/>
    <x v="665"/>
    <n v="560.94200000000001"/>
    <s v="Parfaite"/>
    <s v="CA-AU-R19"/>
    <s v="PALF"/>
    <x v="5"/>
    <s v="Congo"/>
    <x v="0"/>
    <x v="0"/>
    <m/>
  </r>
  <r>
    <x v="208"/>
    <s v="Reglement facture internet periode du 01/09 au 30/09/2025 bureau PALF"/>
    <s v="Internet"/>
    <s v="Office"/>
    <x v="87"/>
    <x v="672"/>
    <n v="560.94200000000001"/>
    <s v="Parfaite"/>
    <s v="CA-AU-R20"/>
    <s v="PALF"/>
    <x v="5"/>
    <s v="Congo"/>
    <x v="0"/>
    <x v="0"/>
    <m/>
  </r>
  <r>
    <x v="208"/>
    <s v="Taxi moto hotel-agence,achat billet"/>
    <s v="Transport"/>
    <s v="Investigation"/>
    <x v="294"/>
    <x v="618"/>
    <n v="560.94200000000001"/>
    <s v="P29"/>
    <s v="P29-AU-D1"/>
    <s v="PALF"/>
    <x v="5"/>
    <s v="Congo"/>
    <x v="0"/>
    <x v="0"/>
    <m/>
  </r>
  <r>
    <x v="208"/>
    <s v="Taxi moto agence-hotel"/>
    <s v="Transport"/>
    <s v="Investigation"/>
    <x v="294"/>
    <x v="618"/>
    <n v="560.94200000000001"/>
    <s v="P29"/>
    <s v="P29-AU-D1"/>
    <s v="PALF"/>
    <x v="5"/>
    <s v="Congo"/>
    <x v="0"/>
    <x v="0"/>
    <m/>
  </r>
  <r>
    <x v="208"/>
    <s v="Taxi: Bureau-Charden Farel/Transfert des fonds"/>
    <s v="Transport"/>
    <s v="Legal"/>
    <x v="294"/>
    <x v="618"/>
    <n v="560.94200000000001"/>
    <s v="Abraham"/>
    <s v="AB-AU-D1"/>
    <s v="PALF"/>
    <x v="5"/>
    <s v="Congo"/>
    <x v="0"/>
    <x v="0"/>
    <m/>
  </r>
  <r>
    <x v="208"/>
    <s v="Taxi: Charden-Farel Bureau"/>
    <s v="Transport"/>
    <s v="Legal"/>
    <x v="294"/>
    <x v="618"/>
    <n v="560.94200000000001"/>
    <s v="Abraham"/>
    <s v="AB-AU-D1"/>
    <s v="PALF"/>
    <x v="5"/>
    <s v="Congo"/>
    <x v="0"/>
    <x v="0"/>
    <m/>
  </r>
  <r>
    <x v="208"/>
    <s v="Frais de tansfert d'argent à Evariste"/>
    <s v="Transfert fees"/>
    <s v="Office"/>
    <x v="325"/>
    <x v="673"/>
    <n v="560.94200000000001"/>
    <s v="Abraham"/>
    <s v="CA-AU-R21"/>
    <s v="PALF"/>
    <x v="5"/>
    <s v="Congo"/>
    <x v="0"/>
    <x v="0"/>
    <m/>
  </r>
  <r>
    <x v="208"/>
    <s v="RODERLIN-CONGO Frais d'hôtel du 28 au 29/08/2025 à Ouesso (01 nuitée)"/>
    <s v="Travel Subsistence"/>
    <s v="Legal"/>
    <x v="64"/>
    <x v="625"/>
    <n v="560.94200000000001"/>
    <s v="Roderlin"/>
    <s v="RO-AU-R8"/>
    <s v="PALF"/>
    <x v="5"/>
    <s v="Congo"/>
    <x v="0"/>
    <x v="0"/>
    <m/>
  </r>
  <r>
    <x v="208"/>
    <s v="Taxi:Hôtel Divine-Agence Océan du nord de Ouesso"/>
    <s v="Transport"/>
    <s v="Legal"/>
    <x v="294"/>
    <x v="618"/>
    <n v="560.94200000000001"/>
    <s v="Roderlin"/>
    <s v="RO-AU-D1"/>
    <s v="PALF"/>
    <x v="5"/>
    <s v="Congo"/>
    <x v="0"/>
    <x v="0"/>
    <m/>
  </r>
  <r>
    <x v="208"/>
    <s v="Taxi-moto:Agence Océan du nord de Enyele-Hôtel Paulina "/>
    <s v="Transport"/>
    <s v="Legal"/>
    <x v="294"/>
    <x v="618"/>
    <n v="560.94200000000001"/>
    <s v="Roderlin"/>
    <s v="RO-AU-D1"/>
    <s v="PALF"/>
    <x v="5"/>
    <s v="Congo"/>
    <x v="0"/>
    <x v="0"/>
    <m/>
  </r>
  <r>
    <x v="208"/>
    <s v="Taxi moto Hôtel Mithé-La Brigade de Recherche/ Pour la visite geôle du 29/08/2025 à 07h"/>
    <s v="Transport "/>
    <s v="Legal"/>
    <x v="294"/>
    <x v="618"/>
    <n v="560.94200000000001"/>
    <s v="Donald-Romeo"/>
    <s v="DR-AU-D1"/>
    <s v="PALF"/>
    <x v="5"/>
    <s v="Congo"/>
    <x v="0"/>
    <x v="0"/>
    <m/>
  </r>
  <r>
    <x v="208"/>
    <s v="Ration d'une prevenue/ MOUKAHOU Clarisse/ A la gandarmerie d'Impfondo/Matin"/>
    <s v="Jail visit"/>
    <s v="Legal"/>
    <x v="120"/>
    <x v="614"/>
    <n v="560.94200000000001"/>
    <s v="Donald-Romeo"/>
    <s v="DR-AU-D3"/>
    <s v="PALF"/>
    <x v="5"/>
    <s v="Congo"/>
    <x v="0"/>
    <x v="0"/>
    <m/>
  </r>
  <r>
    <x v="208"/>
    <s v="Taxi moto La Brigade de Recherche- Hôtel Mithé"/>
    <s v="Transport "/>
    <s v="Legal"/>
    <x v="294"/>
    <x v="618"/>
    <n v="560.94200000000001"/>
    <s v="Donald-Romeo"/>
    <s v="DR-AU-D1"/>
    <s v="PALF"/>
    <x v="5"/>
    <s v="Congo"/>
    <x v="0"/>
    <x v="0"/>
    <m/>
  </r>
  <r>
    <x v="208"/>
    <s v="Taxi moto Hôtel Mithé-Cyber café/ Faire imprimer la procédure de la Gendarmerie"/>
    <s v="Transport "/>
    <s v="Legal"/>
    <x v="294"/>
    <x v="618"/>
    <n v="560.94200000000001"/>
    <s v="Donald-Romeo"/>
    <s v="DR-AU-D1"/>
    <s v="PALF"/>
    <x v="5"/>
    <s v="Congo"/>
    <x v="0"/>
    <x v="0"/>
    <m/>
  </r>
  <r>
    <x v="208"/>
    <s v="Frais d'impression de la procédure de la gendarmerie"/>
    <s v="Office Materials"/>
    <s v="Operation"/>
    <x v="246"/>
    <x v="674"/>
    <n v="560.94200000000001"/>
    <s v="Donald-Romeo"/>
    <s v="DR-AU-R9"/>
    <s v="PALF"/>
    <x v="5"/>
    <s v="Congo"/>
    <x v="0"/>
    <x v="0"/>
    <m/>
  </r>
  <r>
    <x v="208"/>
    <s v="Taxi moto Cyber café-Region de gendarmerie/ Faire signer les PV aux prévenus"/>
    <s v="Transport "/>
    <s v="Legal"/>
    <x v="294"/>
    <x v="618"/>
    <n v="560.94200000000001"/>
    <s v="Donald-Romeo"/>
    <s v="DR-AU-D1"/>
    <s v="PALF"/>
    <x v="5"/>
    <s v="Congo"/>
    <x v="0"/>
    <x v="0"/>
    <m/>
  </r>
  <r>
    <x v="208"/>
    <s v="Taxi moto TGI- Hôtel Mithé"/>
    <s v="Transport "/>
    <s v="Legal"/>
    <x v="294"/>
    <x v="618"/>
    <n v="560.94200000000001"/>
    <s v="Donald-Romeo"/>
    <s v="DR-AU-D1"/>
    <s v="PALF"/>
    <x v="5"/>
    <s v="Congo"/>
    <x v="0"/>
    <x v="0"/>
    <m/>
  </r>
  <r>
    <x v="208"/>
    <s v="Taxi moto, Hôtel Mithé2-Charden Farell"/>
    <s v="Transport"/>
    <s v="Media"/>
    <x v="294"/>
    <x v="618"/>
    <n v="560.94200000000001"/>
    <s v="Evariste"/>
    <s v="EV-AU-D1"/>
    <s v="PALF"/>
    <x v="5"/>
    <s v="Congo"/>
    <x v="0"/>
    <x v="0"/>
    <m/>
  </r>
  <r>
    <x v="208"/>
    <s v="Bonus medias(TV Congo) portant sur l'interpetation d'une trafiquante de produit de  faune le 25 Août Août 2025 à Impfondo (pieces télé Congo français)"/>
    <s v="Bonus to media officer"/>
    <s v="Media"/>
    <x v="30"/>
    <x v="637"/>
    <n v="560.94200000000001"/>
    <s v="Evariste"/>
    <s v="CA-AU-D4"/>
    <s v="PALF"/>
    <x v="5"/>
    <s v="Congo"/>
    <x v="0"/>
    <x v="0"/>
    <m/>
  </r>
  <r>
    <x v="208"/>
    <s v="Bonus medias(TV Congo) portant sur l'interpetation d'une trafiquante de produit de  faune le 25 Août Août 2025 à Impfondo pieces (télé Congo kituba)"/>
    <s v="Bonus to media officer"/>
    <s v="Media"/>
    <x v="30"/>
    <x v="637"/>
    <n v="560.94200000000001"/>
    <s v="Evariste"/>
    <s v="CA-AU-D4"/>
    <s v="PALF"/>
    <x v="5"/>
    <s v="Congo"/>
    <x v="0"/>
    <x v="0"/>
    <m/>
  </r>
  <r>
    <x v="208"/>
    <s v="Bonus medias(TV Congo) portant sur l'interpetation d'une trafiquante de produit de  faune le 25 Août Août 2025 à Impfondo pieces (télé Congo, lingala )"/>
    <s v="Bonus to media officer"/>
    <s v="Media"/>
    <x v="30"/>
    <x v="637"/>
    <n v="560.94200000000001"/>
    <s v="Evariste"/>
    <s v="CA-AU-D4"/>
    <s v="PALF"/>
    <x v="5"/>
    <s v="Congo"/>
    <x v="0"/>
    <x v="0"/>
    <m/>
  </r>
  <r>
    <x v="208"/>
    <s v="Bonus medias(TV Congo) portant sur l'interpetation d'une trafiquante de produit de  faune le 25 Août Août 2025 à Impfondo pieces( télé Congo montages)"/>
    <s v="Bonus to media officer"/>
    <s v="Media"/>
    <x v="30"/>
    <x v="637"/>
    <n v="560.94200000000001"/>
    <s v="Evariste"/>
    <s v="CA-AU-D4"/>
    <s v="PALF"/>
    <x v="5"/>
    <s v="Congo"/>
    <x v="0"/>
    <x v="0"/>
    <m/>
  </r>
  <r>
    <x v="208"/>
    <s v="Taxi moto, Charden Farell-Hôtel Mithé2"/>
    <s v="Transport"/>
    <s v="Media"/>
    <x v="294"/>
    <x v="618"/>
    <n v="560.94200000000001"/>
    <s v="Evariste"/>
    <s v="EV-AU-D1"/>
    <s v="PALF"/>
    <x v="5"/>
    <s v="Congo"/>
    <x v="0"/>
    <x v="0"/>
    <m/>
  </r>
  <r>
    <x v="208"/>
    <s v="Reglement honoraire du mois d'Août 2025/G12/3654427"/>
    <s v="Personnel"/>
    <s v="Investigation"/>
    <x v="326"/>
    <x v="675"/>
    <n v="560.94200000000001"/>
    <s v="BCI"/>
    <s v="BQ-AU-R17"/>
    <s v="PALF"/>
    <x v="5"/>
    <s v="Congo"/>
    <x v="0"/>
    <x v="0"/>
    <m/>
  </r>
  <r>
    <x v="208"/>
    <s v="Reglement honoraire du mois d'Août 2025/IT87/3654426"/>
    <s v="Personnel"/>
    <s v="Investigation"/>
    <x v="89"/>
    <x v="676"/>
    <n v="560.94200000000001"/>
    <s v="BCI"/>
    <s v="BQ-AU-R18"/>
    <s v="PALF"/>
    <x v="5"/>
    <s v="Congo"/>
    <x v="0"/>
    <x v="0"/>
    <m/>
  </r>
  <r>
    <x v="209"/>
    <s v="RODERLIN-CONGO Frais d'hôtel du 29 au 30/08/2025 à Enyele (01 nuitée)"/>
    <s v="Travel Subsistence"/>
    <s v="Legal"/>
    <x v="64"/>
    <x v="625"/>
    <n v="560.94200000000001"/>
    <s v="Roderlin"/>
    <s v="RO-AU-R9"/>
    <s v="PALF"/>
    <x v="5"/>
    <s v="Congo"/>
    <x v="0"/>
    <x v="0"/>
    <m/>
  </r>
  <r>
    <x v="209"/>
    <s v="Taxi:Hôtel Paulina-Agence Océan du nord de Enyele "/>
    <s v="Transport"/>
    <s v="Legal"/>
    <x v="294"/>
    <x v="618"/>
    <n v="560.94200000000001"/>
    <s v="Roderlin"/>
    <s v="RO-AU-D1"/>
    <s v="PALF"/>
    <x v="5"/>
    <s v="Congo"/>
    <x v="0"/>
    <x v="0"/>
    <m/>
  </r>
  <r>
    <x v="209"/>
    <s v="Taxi-moto:Agence Océan du nord d'Impfondo-Hôtel Mithe"/>
    <s v="Transport"/>
    <s v="Legal"/>
    <x v="294"/>
    <x v="618"/>
    <n v="560.94200000000001"/>
    <s v="Roderlin"/>
    <s v="RO-AU-D1"/>
    <s v="PALF"/>
    <x v="5"/>
    <s v="Congo"/>
    <x v="0"/>
    <x v="0"/>
    <m/>
  </r>
  <r>
    <x v="210"/>
    <s v="Achat billet enyelle-Brazzaville/P29"/>
    <s v="Transport"/>
    <s v="Investigation"/>
    <x v="29"/>
    <x v="657"/>
    <n v="560.94200000000001"/>
    <s v="P29"/>
    <s v="P29-AU-R12"/>
    <s v="PALF"/>
    <x v="5"/>
    <s v="Congo"/>
    <x v="0"/>
    <x v="0"/>
    <m/>
  </r>
  <r>
    <x v="210"/>
    <s v="P29 -CONGO Frais d'hotel du 25 au 31/08/2025 à  enyelle (06 Nuitées)"/>
    <s v="Travel Subsistence"/>
    <s v="Investigation"/>
    <x v="35"/>
    <x v="677"/>
    <n v="560.94200000000001"/>
    <s v="P29"/>
    <s v="P29-AU-R13"/>
    <s v="PALF"/>
    <x v="5"/>
    <s v="Congo"/>
    <x v="0"/>
    <x v="0"/>
    <m/>
  </r>
  <r>
    <x v="210"/>
    <s v="Taxi agence-hotel,arrivé à gamboma"/>
    <s v="Transport"/>
    <s v="Investigation"/>
    <x v="24"/>
    <x v="608"/>
    <n v="560.94200000000001"/>
    <s v="P29"/>
    <s v="P29-AU-D1"/>
    <s v="PALF"/>
    <x v="5"/>
    <s v="Congo"/>
    <x v="0"/>
    <x v="0"/>
    <m/>
  </r>
  <r>
    <x v="210"/>
    <s v="Achat billet  Enyelle - Brazzaville/T73"/>
    <s v="Transport"/>
    <s v="Investigation"/>
    <x v="29"/>
    <x v="657"/>
    <n v="560.94200000000001"/>
    <s v="T73"/>
    <s v="T73-AU-R10"/>
    <s v="PALF"/>
    <x v="5"/>
    <s v="Congo"/>
    <x v="0"/>
    <x v="0"/>
    <m/>
  </r>
  <r>
    <x v="210"/>
    <s v="T73 - CONGO Frais d'hotel du 25 au 31/08/2025 à Enyelle ( 06 nuitée)"/>
    <s v="Travel Subsistence"/>
    <s v="Investigation"/>
    <x v="35"/>
    <x v="677"/>
    <n v="560.94200000000001"/>
    <s v="T73"/>
    <s v="T73-AU-R11"/>
    <s v="PALF"/>
    <x v="5"/>
    <s v="Congo"/>
    <x v="0"/>
    <x v="0"/>
    <m/>
  </r>
  <r>
    <x v="211"/>
    <s v="Maison-Bureau"/>
    <s v="Transport"/>
    <s v="Management"/>
    <x v="24"/>
    <x v="678"/>
    <n v="533.50300000000004"/>
    <s v="DOVI"/>
    <s v="DH-S-D1"/>
    <s v="PALF"/>
    <x v="7"/>
    <s v="Congo"/>
    <x v="0"/>
    <x v="0"/>
    <m/>
  </r>
  <r>
    <x v="211"/>
    <s v="Bureau-Maison"/>
    <s v="Transport"/>
    <s v="Management"/>
    <x v="24"/>
    <x v="678"/>
    <n v="533.50300000000004"/>
    <s v="DOVI"/>
    <s v="DH-S-D1"/>
    <s v="PALF"/>
    <x v="7"/>
    <s v="Congo"/>
    <x v="0"/>
    <x v="0"/>
    <m/>
  </r>
  <r>
    <x v="211"/>
    <s v="Credit telephonique MTN/PALF/ du 01 au 07 Septembre 2025/DOVI"/>
    <s v="Telephone"/>
    <s v="Management"/>
    <x v="48"/>
    <x v="679"/>
    <n v="533.50300000000004"/>
    <s v="DOVI"/>
    <s v="DH-S-R1"/>
    <s v="PALF"/>
    <x v="7"/>
    <s v="Congo"/>
    <x v="0"/>
    <x v="0"/>
    <m/>
  </r>
  <r>
    <x v="211"/>
    <s v="CREPIN-CONGO Ration du 02 au 14/09/2025 à Impfondo"/>
    <s v="Travel Subsistence"/>
    <s v="Legal"/>
    <x v="32"/>
    <x v="680"/>
    <n v="533.50300000000004"/>
    <s v="Crepin"/>
    <s v="CR-S-D2"/>
    <s v="PALF"/>
    <x v="7"/>
    <s v="Congo"/>
    <x v="0"/>
    <x v="0"/>
    <m/>
  </r>
  <r>
    <x v="211"/>
    <s v="Credit telephonique MTN PALF/du 01 au 07 septembre 2025/ crepin"/>
    <s v="Telephone"/>
    <s v="Legal"/>
    <x v="4"/>
    <x v="681"/>
    <n v="533.50300000000004"/>
    <s v="Crepin"/>
    <s v="CR-S-R1"/>
    <s v="PALF"/>
    <x v="7"/>
    <s v="Congo"/>
    <x v="0"/>
    <x v="0"/>
    <m/>
  </r>
  <r>
    <x v="211"/>
    <s v="Taxi:  Bureau-Banque BCI/ Retrait espece"/>
    <s v="Transport"/>
    <s v="Office"/>
    <x v="24"/>
    <x v="678"/>
    <n v="533.50300000000004"/>
    <s v="Parfaite"/>
    <s v="P-S-D1"/>
    <s v="PALF"/>
    <x v="7"/>
    <s v="Congo"/>
    <x v="0"/>
    <x v="0"/>
    <m/>
  </r>
  <r>
    <x v="211"/>
    <s v="Taxi:  Banque BCI - Direction MTN /Achat crédit bureau PALF"/>
    <s v="Transport"/>
    <s v="Office"/>
    <x v="294"/>
    <x v="682"/>
    <n v="533.50300000000004"/>
    <s v="Parfaite"/>
    <s v="P-S-D1"/>
    <s v="PALF"/>
    <x v="7"/>
    <s v="Congo"/>
    <x v="0"/>
    <x v="0"/>
    <m/>
  </r>
  <r>
    <x v="211"/>
    <s v="Taxi: Direction MTN-Bureau/"/>
    <s v="Transport"/>
    <s v="Office"/>
    <x v="24"/>
    <x v="678"/>
    <n v="533.50300000000004"/>
    <s v="Parfaite"/>
    <s v="P-S-D1"/>
    <s v="PALF"/>
    <x v="7"/>
    <s v="Congo"/>
    <x v="0"/>
    <x v="0"/>
    <m/>
  </r>
  <r>
    <x v="211"/>
    <s v="Ration et frais d'hotel mission maitre Alain à Impfondo du 01 au 07/09/2025"/>
    <s v="Travel Subsistence"/>
    <s v="Legal"/>
    <x v="11"/>
    <x v="683"/>
    <n v="533.50300000000004"/>
    <s v="Parfaite"/>
    <s v="CA-S-R1"/>
    <s v="PALF"/>
    <x v="7"/>
    <s v="Congo"/>
    <x v="0"/>
    <x v="0"/>
    <m/>
  </r>
  <r>
    <x v="211"/>
    <s v="Frais de transport mission Maitre Alain à Impfondo du 01 au 07/09/2025"/>
    <s v="Transport"/>
    <s v="Legal"/>
    <x v="45"/>
    <x v="627"/>
    <n v="560.94200000000001"/>
    <s v="Parfaite"/>
    <s v="CA-S-R2"/>
    <s v="PALF"/>
    <x v="5"/>
    <s v="Congo"/>
    <x v="0"/>
    <x v="0"/>
    <m/>
  </r>
  <r>
    <x v="211"/>
    <s v="Taxi: Bureau - Charden Farell/transfert d'argent à Roderlin et Maitre Alain"/>
    <s v="Transport"/>
    <s v="Office"/>
    <x v="294"/>
    <x v="618"/>
    <n v="560.94200000000001"/>
    <s v="Parfaite"/>
    <s v="P-S-D1"/>
    <s v="PALF"/>
    <x v="5"/>
    <s v="Congo"/>
    <x v="0"/>
    <x v="0"/>
    <m/>
  </r>
  <r>
    <x v="211"/>
    <s v="Taxi: Charden Farell- Bureau/transferft d'argent"/>
    <s v="Transfert fees"/>
    <s v="Office"/>
    <x v="327"/>
    <x v="684"/>
    <n v="560.94200000000001"/>
    <s v="Parfaite"/>
    <s v="CA-S-R3"/>
    <s v="PALF"/>
    <x v="5"/>
    <s v="Congo"/>
    <x v="0"/>
    <x v="0"/>
    <m/>
  </r>
  <r>
    <x v="211"/>
    <s v="Taxi: Charden Farell- Bureau/transferft d'argent"/>
    <s v="Transport"/>
    <s v="Office"/>
    <x v="294"/>
    <x v="618"/>
    <n v="560.94200000000001"/>
    <s v="Parfaite"/>
    <s v="P-S-D1"/>
    <s v="PALF"/>
    <x v="5"/>
    <s v="Congo"/>
    <x v="0"/>
    <x v="0"/>
    <m/>
  </r>
  <r>
    <x v="211"/>
    <s v="Credit teléphonique MTN PALF/ du 01 au 07 septembre 2025/ Parfaite"/>
    <s v="Telephone"/>
    <s v="Management"/>
    <x v="55"/>
    <x v="643"/>
    <n v="560.94200000000001"/>
    <s v="Parfaite"/>
    <s v="P-S-R1"/>
    <s v="PALF"/>
    <x v="5"/>
    <s v="Congo"/>
    <x v="0"/>
    <x v="0"/>
    <m/>
  </r>
  <r>
    <x v="211"/>
    <s v="P29 -CONGO Frais d'hotel du 31/08 au 01/09/2025 à  Gamboma (01 Nuitée)"/>
    <s v="Travel Subsistence"/>
    <s v="Investigation"/>
    <x v="64"/>
    <x v="625"/>
    <n v="560.94200000000001"/>
    <s v="P29"/>
    <s v="P29-S-R1"/>
    <s v="PALF"/>
    <x v="5"/>
    <s v="Congo"/>
    <x v="0"/>
    <x v="0"/>
    <m/>
  </r>
  <r>
    <x v="211"/>
    <s v="Taxi hotel-agence,départ pour brazza"/>
    <s v="Transport"/>
    <s v="Investigation"/>
    <x v="24"/>
    <x v="608"/>
    <n v="560.94200000000001"/>
    <s v="P29"/>
    <s v="P29-S-D1"/>
    <s v="PALF"/>
    <x v="5"/>
    <s v="Congo"/>
    <x v="0"/>
    <x v="0"/>
    <m/>
  </r>
  <r>
    <x v="211"/>
    <s v="Taxi agence-domicile,arrivé à brazzaville"/>
    <s v="Transport"/>
    <s v="Investigation"/>
    <x v="75"/>
    <x v="616"/>
    <n v="560.94200000000001"/>
    <s v="P29"/>
    <s v="P29-S-D1"/>
    <s v="PALF"/>
    <x v="5"/>
    <s v="Congo"/>
    <x v="0"/>
    <x v="0"/>
    <m/>
  </r>
  <r>
    <x v="211"/>
    <s v="Credit telephonique MTN PALF/ du 01 au 07 Septembre 2025/ Investigation/P29"/>
    <s v="Telephone"/>
    <s v="Investigation"/>
    <x v="4"/>
    <x v="626"/>
    <n v="560.94200000000001"/>
    <s v="P29"/>
    <s v="P29-S-R2"/>
    <s v="PALF"/>
    <x v="5"/>
    <s v="Congo"/>
    <x v="0"/>
    <x v="0"/>
    <m/>
  </r>
  <r>
    <x v="211"/>
    <s v="T73 - CONGO Frais d'hotel du 31 au 01/08/2025 ( 01 nuitée) à Gamboma"/>
    <s v="Travel Subsistence"/>
    <s v="Investigation"/>
    <x v="64"/>
    <x v="625"/>
    <n v="560.94200000000001"/>
    <s v="T73"/>
    <s v="T73-S-R1"/>
    <s v="PALF"/>
    <x v="5"/>
    <s v="Congo"/>
    <x v="0"/>
    <x v="0"/>
    <m/>
  </r>
  <r>
    <x v="211"/>
    <s v="Credit telephonique MTN PALF/ du 01 au 07 septembre 2025/ Investigation/T73"/>
    <s v="Telephone"/>
    <s v="Investigation"/>
    <x v="4"/>
    <x v="626"/>
    <n v="560.94200000000001"/>
    <s v="T73"/>
    <s v="T73-S-R2"/>
    <s v="PALF"/>
    <x v="5"/>
    <s v="Congo"/>
    <x v="0"/>
    <x v="0"/>
    <m/>
  </r>
  <r>
    <x v="211"/>
    <s v="Credit telephonique MTN PALF/du 01 au 07 septembre 2025/IT87"/>
    <s v="Telephone"/>
    <s v="Investigation"/>
    <x v="4"/>
    <x v="626"/>
    <n v="560.94200000000001"/>
    <s v="IT87"/>
    <s v="IT87-S-R1"/>
    <s v="PALF"/>
    <x v="5"/>
    <s v="Congo"/>
    <x v="0"/>
    <x v="0"/>
    <m/>
  </r>
  <r>
    <x v="211"/>
    <s v="Credit telephonique MTN PALF/du 01 au 07 septembre 2025/G12"/>
    <s v="Telephone"/>
    <s v="Investigation"/>
    <x v="4"/>
    <x v="626"/>
    <n v="560.94200000000001"/>
    <s v="G12"/>
    <s v="G12-S-R1"/>
    <s v="PALF"/>
    <x v="5"/>
    <s v="Congo"/>
    <x v="0"/>
    <x v="0"/>
    <m/>
  </r>
  <r>
    <x v="211"/>
    <s v="Credit telephonique MTN PALF/ du 01 au 07 septembre 2025/Abraham"/>
    <s v="Telephone"/>
    <s v="Legal"/>
    <x v="55"/>
    <x v="643"/>
    <n v="560.94200000000001"/>
    <s v="Abraham"/>
    <s v="AB-S-R1"/>
    <s v="PALF"/>
    <x v="5"/>
    <s v="Congo"/>
    <x v="0"/>
    <x v="0"/>
    <m/>
  </r>
  <r>
    <x v="211"/>
    <s v="Taxi-moto:Hôtel Mithe-TGI de Ouesso"/>
    <s v="Transport"/>
    <s v="Legal"/>
    <x v="294"/>
    <x v="618"/>
    <n v="560.94200000000001"/>
    <s v="Roderlin"/>
    <s v="RO-S-D1"/>
    <s v="PALF"/>
    <x v="5"/>
    <s v="Congo"/>
    <x v="0"/>
    <x v="0"/>
    <m/>
  </r>
  <r>
    <x v="211"/>
    <s v="Taxi-moto:TGI-Hôtel Mithe"/>
    <s v="Transport"/>
    <s v="Legal"/>
    <x v="294"/>
    <x v="618"/>
    <n v="560.94200000000001"/>
    <s v="Roderlin"/>
    <s v="RO-S-D1"/>
    <s v="PALF"/>
    <x v="5"/>
    <s v="Congo"/>
    <x v="0"/>
    <x v="0"/>
    <m/>
  </r>
  <r>
    <x v="211"/>
    <s v="Achat billet Impfondo-Brazzaville/ Roderlin"/>
    <s v="Transport"/>
    <s v="Legal"/>
    <x v="303"/>
    <x v="617"/>
    <n v="560.94200000000001"/>
    <s v="Roderlin"/>
    <s v="RO-S-R1"/>
    <s v="PALF"/>
    <x v="5"/>
    <s v="Congo"/>
    <x v="0"/>
    <x v="0"/>
    <m/>
  </r>
  <r>
    <x v="211"/>
    <s v="RODERLIN-CONGO Ration du 01 au 07/09/2025 à Impfondo (06 nuitées)"/>
    <s v="Travel Subsistence"/>
    <s v="Legal"/>
    <x v="23"/>
    <x v="685"/>
    <n v="560.94200000000001"/>
    <s v="Roderlin"/>
    <s v="RO-S-D2"/>
    <s v="PALF"/>
    <x v="5"/>
    <s v="Congo"/>
    <x v="0"/>
    <x v="0"/>
    <m/>
  </r>
  <r>
    <x v="211"/>
    <s v="Credit telephonique MTN PALF/du 01 au 07 Septembre 2025/Roderlin"/>
    <s v="Telephone"/>
    <s v="Legal"/>
    <x v="55"/>
    <x v="643"/>
    <n v="560.94200000000001"/>
    <s v="Roderlin"/>
    <s v="RO-S-R2"/>
    <s v="PALF"/>
    <x v="5"/>
    <s v="Congo"/>
    <x v="0"/>
    <x v="0"/>
    <m/>
  </r>
  <r>
    <x v="211"/>
    <s v="Taxi moto Hôtel Mithé-TGI/ Suivi d'audience"/>
    <s v="Transport "/>
    <s v="Legal"/>
    <x v="294"/>
    <x v="618"/>
    <n v="560.94200000000001"/>
    <s v="Donald-Romeo"/>
    <s v="DR-S-D1"/>
    <s v="PALF"/>
    <x v="5"/>
    <s v="Congo"/>
    <x v="0"/>
    <x v="0"/>
    <m/>
  </r>
  <r>
    <x v="211"/>
    <s v="Taxi moto TGI- Agence Océan du Nord/ Pour la reservation des billets"/>
    <s v="Transport "/>
    <s v="Legal"/>
    <x v="294"/>
    <x v="618"/>
    <n v="560.94200000000001"/>
    <s v="Donald-Romeo"/>
    <s v="DR-S-D1"/>
    <s v="PALF"/>
    <x v="5"/>
    <s v="Congo"/>
    <x v="0"/>
    <x v="0"/>
    <m/>
  </r>
  <r>
    <x v="211"/>
    <s v="Credit telephonique MTN PALF/du 01 au 07 septembre 2025"/>
    <s v="Telephone"/>
    <s v="Legal"/>
    <x v="4"/>
    <x v="626"/>
    <n v="560.94200000000001"/>
    <s v="Donald-Romeo"/>
    <s v="DR-S-R1"/>
    <s v="PALF"/>
    <x v="5"/>
    <s v="Congo"/>
    <x v="0"/>
    <x v="0"/>
    <m/>
  </r>
  <r>
    <x v="211"/>
    <s v="Taxi moto Agence Océan du Nord-Hôtel Mithé"/>
    <s v="Transport "/>
    <s v="Legal"/>
    <x v="294"/>
    <x v="618"/>
    <n v="560.94200000000001"/>
    <s v="Donald-Romeo"/>
    <s v="DR-S-D1"/>
    <s v="PALF"/>
    <x v="5"/>
    <s v="Congo"/>
    <x v="0"/>
    <x v="0"/>
    <m/>
  </r>
  <r>
    <x v="211"/>
    <s v="Achat billet Imfondo-Brazzaville/ Donald-Roméo"/>
    <s v="Transport "/>
    <s v="Legal"/>
    <x v="303"/>
    <x v="617"/>
    <n v="560.94200000000001"/>
    <s v="Donald-Romeo"/>
    <s v="DR-S-R2"/>
    <s v="PALF"/>
    <x v="5"/>
    <s v="Congo"/>
    <x v="0"/>
    <x v="0"/>
    <m/>
  </r>
  <r>
    <x v="211"/>
    <s v="Donald-Roméo CONGO Ration  du  02 au 14/09/2025 à Oyo, Impfondo et  Enyellé/ Donald-Roméo"/>
    <s v="Travel Subsistence"/>
    <s v="Legal"/>
    <x v="32"/>
    <x v="686"/>
    <n v="560.94200000000001"/>
    <s v="Donald-Romeo"/>
    <s v="DR-S-D2"/>
    <s v="PALF"/>
    <x v="5"/>
    <s v="Congo"/>
    <x v="0"/>
    <x v="0"/>
    <m/>
  </r>
  <r>
    <x v="211"/>
    <s v="Achat billet Impfondo-Brazzaville"/>
    <s v="Transport"/>
    <s v="Media"/>
    <x v="303"/>
    <x v="617"/>
    <n v="560.94200000000001"/>
    <s v="Evariste"/>
    <s v="EV-S-R1"/>
    <s v="PALF"/>
    <x v="5"/>
    <s v="Congo"/>
    <x v="0"/>
    <x v="0"/>
    <m/>
  </r>
  <r>
    <x v="211"/>
    <s v="Frais de l'hôtel Mithé à Impfondo du 16 août au 01 septembre 2025 ( 16 nuitées) "/>
    <s v="Travel Subsistence"/>
    <s v="Media"/>
    <x v="66"/>
    <x v="687"/>
    <n v="560.94200000000001"/>
    <s v="Evariste"/>
    <s v="EV-S-R2"/>
    <s v="PALF"/>
    <x v="5"/>
    <s v="Congo"/>
    <x v="0"/>
    <x v="0"/>
    <m/>
  </r>
  <r>
    <x v="211"/>
    <s v="Taxi moto, Hôtel Mithé2-Agence Océan du Nord d'Impfondo"/>
    <s v="Transport"/>
    <s v="Media"/>
    <x v="294"/>
    <x v="618"/>
    <n v="560.94200000000001"/>
    <s v="Evariste"/>
    <s v="EV-S-D1"/>
    <s v="PALF"/>
    <x v="5"/>
    <s v="Congo"/>
    <x v="0"/>
    <x v="0"/>
    <m/>
  </r>
  <r>
    <x v="211"/>
    <s v="Credit telephonique MTN PALF/du 01 au 07 septembre 2025/ Evariste"/>
    <s v="Telephone"/>
    <s v="Media"/>
    <x v="4"/>
    <x v="626"/>
    <n v="560.94200000000001"/>
    <s v="Evariste"/>
    <s v="EV-S-R3"/>
    <s v="PALF"/>
    <x v="5"/>
    <s v="Congo"/>
    <x v="0"/>
    <x v="0"/>
    <m/>
  </r>
  <r>
    <x v="211"/>
    <s v="Credit telephonique MTN PALF/du 01 au 07 Septembre 2025/Romain"/>
    <s v="Telephone"/>
    <s v="Legal"/>
    <x v="55"/>
    <x v="643"/>
    <n v="560.94200000000001"/>
    <s v="Romain"/>
    <s v="RM-S-R1"/>
    <s v="PALF"/>
    <x v="5"/>
    <s v="Congo"/>
    <x v="0"/>
    <x v="0"/>
    <m/>
  </r>
  <r>
    <x v="212"/>
    <s v="Maison-Cabinet d'huissier"/>
    <s v="Transport"/>
    <s v="Management"/>
    <x v="24"/>
    <x v="608"/>
    <n v="560.94200000000001"/>
    <s v="DOVI"/>
    <s v="DH-S-D1"/>
    <s v="PALF"/>
    <x v="5"/>
    <s v="Congo"/>
    <x v="0"/>
    <x v="0"/>
    <m/>
  </r>
  <r>
    <x v="212"/>
    <s v="Cabinet d'huissier - Bureau"/>
    <s v="Transport"/>
    <s v="Management"/>
    <x v="24"/>
    <x v="608"/>
    <n v="560.94200000000001"/>
    <s v="DOVI"/>
    <s v="DH-S-D1"/>
    <s v="PALF"/>
    <x v="5"/>
    <s v="Congo"/>
    <x v="0"/>
    <x v="0"/>
    <m/>
  </r>
  <r>
    <x v="212"/>
    <s v="Bureau-Maison"/>
    <s v="Transport"/>
    <s v="Management"/>
    <x v="24"/>
    <x v="608"/>
    <n v="560.94200000000001"/>
    <s v="DOVI"/>
    <s v="DH-S-D1"/>
    <s v="PALF"/>
    <x v="5"/>
    <s v="Congo"/>
    <x v="0"/>
    <x v="0"/>
    <m/>
  </r>
  <r>
    <x v="212"/>
    <s v="Frais de notification affaire de merveille/ Maître OKEMBA NGABOMBA"/>
    <s v="Lawyer Fees"/>
    <s v="Legal"/>
    <x v="328"/>
    <x v="688"/>
    <n v="560.94200000000001"/>
    <s v="Parfaite"/>
    <s v="CA-S-R5"/>
    <s v="PALF"/>
    <x v="5"/>
    <s v="Congo"/>
    <x v="0"/>
    <x v="0"/>
    <m/>
  </r>
  <r>
    <x v="212"/>
    <s v="Taxi: Bureau-Charden Farell/Transfert de fonds"/>
    <s v="Transport"/>
    <s v="Legal"/>
    <x v="294"/>
    <x v="618"/>
    <n v="560.94200000000001"/>
    <s v="Abraham"/>
    <s v="AB-S-D1"/>
    <s v="PALF"/>
    <x v="5"/>
    <s v="Congo"/>
    <x v="0"/>
    <x v="0"/>
    <m/>
  </r>
  <r>
    <x v="212"/>
    <s v="Taxi: Charden-Farel Bureau"/>
    <s v="Transport"/>
    <s v="Legal"/>
    <x v="294"/>
    <x v="618"/>
    <n v="560.94200000000001"/>
    <s v="Abraham"/>
    <s v="AB-S-D1"/>
    <s v="PALF"/>
    <x v="5"/>
    <s v="Congo"/>
    <x v="0"/>
    <x v="0"/>
    <m/>
  </r>
  <r>
    <x v="212"/>
    <s v="Frais de tansfert d'argent à Donald-Roméo et Crepin"/>
    <s v="Transfert fees"/>
    <s v="Office"/>
    <x v="329"/>
    <x v="689"/>
    <n v="560.94200000000001"/>
    <s v="Abraham"/>
    <s v="CA-S-R4"/>
    <s v="PALF"/>
    <x v="5"/>
    <s v="Congo"/>
    <x v="0"/>
    <x v="0"/>
    <m/>
  </r>
  <r>
    <x v="212"/>
    <s v="Taxi-moto:Hôtel Mithe-Charden Farrel"/>
    <s v="Transport"/>
    <s v="Legal"/>
    <x v="294"/>
    <x v="618"/>
    <n v="560.94200000000001"/>
    <s v="Roderlin"/>
    <s v="RO-S-D1"/>
    <s v="PALF"/>
    <x v="5"/>
    <s v="Congo"/>
    <x v="0"/>
    <x v="0"/>
    <m/>
  </r>
  <r>
    <x v="212"/>
    <s v="Taxi-moto:Charden Farrel-Hôtel Mithe "/>
    <s v="Transport"/>
    <s v="Legal"/>
    <x v="294"/>
    <x v="618"/>
    <n v="560.94200000000001"/>
    <s v="Roderlin"/>
    <s v="RO-S-D1"/>
    <s v="PALF"/>
    <x v="5"/>
    <s v="Congo"/>
    <x v="0"/>
    <x v="0"/>
    <m/>
  </r>
  <r>
    <x v="212"/>
    <s v="Taxi moto Hôtel Mithé-Charden farell/ Retrait de fonds"/>
    <s v="Transport "/>
    <s v="Legal"/>
    <x v="294"/>
    <x v="618"/>
    <n v="560.94200000000001"/>
    <s v="Donald-Romeo"/>
    <s v="DR-S-D1"/>
    <s v="PALF"/>
    <x v="5"/>
    <s v="Congo"/>
    <x v="0"/>
    <x v="0"/>
    <m/>
  </r>
  <r>
    <x v="212"/>
    <s v="Taxi moto Charden farell-Hôtel Mithé"/>
    <s v="Transport "/>
    <s v="Legal"/>
    <x v="294"/>
    <x v="618"/>
    <n v="560.94200000000001"/>
    <s v="Donald-Romeo"/>
    <s v="DR-S-D1"/>
    <s v="PALF"/>
    <x v="5"/>
    <s v="Congo"/>
    <x v="0"/>
    <x v="0"/>
    <m/>
  </r>
  <r>
    <x v="212"/>
    <s v="Frais de l'hôtel Paulina à Enyellé ( une nuitée) "/>
    <s v="Travel Subsistence"/>
    <s v="Media"/>
    <x v="64"/>
    <x v="625"/>
    <n v="560.94200000000001"/>
    <s v="Evariste"/>
    <s v="EV-S-R4"/>
    <s v="PALF"/>
    <x v="5"/>
    <s v="Congo"/>
    <x v="0"/>
    <x v="0"/>
    <m/>
  </r>
  <r>
    <x v="212"/>
    <s v="Reglement honoraire du mois de de d'Août 2025/P29/3654429"/>
    <s v="Personnel"/>
    <s v="Investigation"/>
    <x v="330"/>
    <x v="690"/>
    <n v="560.94200000000001"/>
    <s v="BCI"/>
    <s v="BQ-S-R1"/>
    <s v="PALF"/>
    <x v="5"/>
    <s v="Congo"/>
    <x v="0"/>
    <x v="0"/>
    <m/>
  </r>
  <r>
    <x v="212"/>
    <s v="Reglement honoraire du mois d'Août 2025/T73/3654430"/>
    <s v="Personnel"/>
    <s v="Investigation"/>
    <x v="178"/>
    <x v="691"/>
    <n v="560.94200000000001"/>
    <s v="BCI"/>
    <s v="BQ-S-R2"/>
    <s v="PALF"/>
    <x v="5"/>
    <s v="Congo"/>
    <x v="0"/>
    <x v="0"/>
    <m/>
  </r>
  <r>
    <x v="213"/>
    <s v="Maison-Bureau"/>
    <s v="Transport"/>
    <s v="Management"/>
    <x v="24"/>
    <x v="608"/>
    <n v="560.94200000000001"/>
    <s v="DOVI"/>
    <s v="DH-S-D1"/>
    <s v="PALF"/>
    <x v="5"/>
    <s v="Congo"/>
    <x v="0"/>
    <x v="0"/>
    <m/>
  </r>
  <r>
    <x v="213"/>
    <s v="Bureau - Maison"/>
    <s v="Transport"/>
    <s v="Management"/>
    <x v="24"/>
    <x v="608"/>
    <n v="560.94200000000001"/>
    <s v="DOVI"/>
    <s v="DH-S-D1"/>
    <s v="PALF"/>
    <x v="5"/>
    <s v="Congo"/>
    <x v="0"/>
    <x v="0"/>
    <m/>
  </r>
  <r>
    <x v="213"/>
    <s v="Achat billet Brazzaville-Dolisie/ P29"/>
    <s v="Transport"/>
    <s v="Investigation"/>
    <x v="94"/>
    <x v="641"/>
    <n v="560.94200000000001"/>
    <s v="P29"/>
    <s v="P29-S-R3"/>
    <s v="PALF"/>
    <x v="5"/>
    <s v="Congo"/>
    <x v="0"/>
    <x v="0"/>
    <m/>
  </r>
  <r>
    <x v="213"/>
    <s v="Taxi bureau-agence, pour achat billet"/>
    <s v="Transport"/>
    <s v="Investigation"/>
    <x v="24"/>
    <x v="608"/>
    <n v="560.94200000000001"/>
    <s v="P29"/>
    <s v="P29-S-D1"/>
    <s v="PALF"/>
    <x v="5"/>
    <s v="Congo"/>
    <x v="0"/>
    <x v="0"/>
    <m/>
  </r>
  <r>
    <x v="213"/>
    <s v="Taxi agence-bureau"/>
    <s v="Transport"/>
    <s v="Investigation"/>
    <x v="120"/>
    <x v="614"/>
    <n v="560.94200000000001"/>
    <s v="P29"/>
    <s v="P29-S-D1"/>
    <s v="PALF"/>
    <x v="5"/>
    <s v="Congo"/>
    <x v="0"/>
    <x v="0"/>
    <m/>
  </r>
  <r>
    <x v="213"/>
    <s v="Taxi :bureau - agence trans bony"/>
    <s v="Transport"/>
    <s v="Investigation"/>
    <x v="24"/>
    <x v="608"/>
    <n v="560.94200000000001"/>
    <s v="T73"/>
    <s v="T73-S-D1"/>
    <s v="PALF"/>
    <x v="5"/>
    <s v="Congo"/>
    <x v="0"/>
    <x v="0"/>
    <m/>
  </r>
  <r>
    <x v="213"/>
    <s v="Taxi :agence trans bony - domicile"/>
    <s v="Transport"/>
    <s v="Investigation"/>
    <x v="24"/>
    <x v="608"/>
    <n v="560.94200000000001"/>
    <s v="T73"/>
    <s v="T73-S-D1"/>
    <s v="PALF"/>
    <x v="5"/>
    <s v="Congo"/>
    <x v="0"/>
    <x v="0"/>
    <m/>
  </r>
  <r>
    <x v="213"/>
    <s v="Achat billet : Brazzaville - dolisie/T73"/>
    <s v="Transport"/>
    <s v="Investigation"/>
    <x v="94"/>
    <x v="641"/>
    <n v="560.94200000000001"/>
    <s v="T73"/>
    <s v="T73-S-R3"/>
    <s v="PALF"/>
    <x v="5"/>
    <s v="Congo"/>
    <x v="0"/>
    <x v="0"/>
    <m/>
  </r>
  <r>
    <x v="213"/>
    <s v="Achat carte Sim MTN /T73"/>
    <s v="Investigation materials"/>
    <s v="Investigation"/>
    <x v="4"/>
    <x v="626"/>
    <n v="560.94200000000001"/>
    <s v="T73"/>
    <s v="CA-S-R6"/>
    <s v="PALF"/>
    <x v="5"/>
    <s v="Congo"/>
    <x v="0"/>
    <x v="0"/>
    <m/>
  </r>
  <r>
    <x v="213"/>
    <s v="Taxi : Bureau - Agence Trans bony/ Achat billet"/>
    <s v="Transport"/>
    <s v="Investigation"/>
    <x v="24"/>
    <x v="608"/>
    <n v="560.94200000000001"/>
    <s v="IT87"/>
    <s v="IT87-S-D1"/>
    <s v="PALF"/>
    <x v="5"/>
    <s v="Congo"/>
    <x v="0"/>
    <x v="0"/>
    <m/>
  </r>
  <r>
    <x v="213"/>
    <s v="Achat billet Brazzaville - Mouyondzi/ IT87"/>
    <s v="Transport"/>
    <s v="Investigation"/>
    <x v="12"/>
    <x v="646"/>
    <n v="560.94200000000001"/>
    <s v="IT87"/>
    <s v="IT87-S-R2"/>
    <s v="PALF"/>
    <x v="5"/>
    <s v="Congo"/>
    <x v="0"/>
    <x v="0"/>
    <m/>
  </r>
  <r>
    <x v="213"/>
    <s v="Taxi Agence trans bony - Domicile/ Retour d'achat billet"/>
    <s v="Transport"/>
    <s v="Investigation"/>
    <x v="70"/>
    <x v="615"/>
    <n v="560.94200000000001"/>
    <s v="IT87"/>
    <s v="IT87-S-D1"/>
    <s v="PALF"/>
    <x v="5"/>
    <s v="Congo"/>
    <x v="0"/>
    <x v="0"/>
    <m/>
  </r>
  <r>
    <x v="213"/>
    <s v="Frais de l'hôtel Baobab à Gamboma ( une nuitée) "/>
    <s v="Travel Subsistence"/>
    <s v="Media"/>
    <x v="64"/>
    <x v="625"/>
    <n v="560.94200000000001"/>
    <s v="Evariste"/>
    <s v="EV-S-R5"/>
    <s v="PALF"/>
    <x v="5"/>
    <s v="Congo"/>
    <x v="0"/>
    <x v="0"/>
    <m/>
  </r>
  <r>
    <x v="213"/>
    <s v="Taxi, Agence Océan du Nord de Talangaï-Domicile"/>
    <s v="Transport"/>
    <s v="Media"/>
    <x v="67"/>
    <x v="644"/>
    <n v="560.94200000000001"/>
    <s v="Evariste"/>
    <s v="EV-S-D1"/>
    <s v="PALF"/>
    <x v="5"/>
    <s v="Congo"/>
    <x v="0"/>
    <x v="0"/>
    <m/>
  </r>
  <r>
    <x v="213"/>
    <s v="Reglement Facture Gardiennage Mois d'Août 2025/365443654431"/>
    <s v="Services"/>
    <s v="Office"/>
    <x v="10"/>
    <x v="613"/>
    <n v="560.94200000000001"/>
    <s v="BCI"/>
    <s v="BQ-S-R3"/>
    <s v="PALF"/>
    <x v="5"/>
    <s v="Congo"/>
    <x v="0"/>
    <x v="0"/>
    <m/>
  </r>
  <r>
    <x v="213"/>
    <s v="Reglement loyer du mois d'Août 2025/3654420"/>
    <s v="Rent &amp; Utilities"/>
    <s v="Office"/>
    <x v="9"/>
    <x v="609"/>
    <n v="560.94200000000001"/>
    <s v="BCI"/>
    <s v="BQ-S-R4"/>
    <s v="PALF"/>
    <x v="5"/>
    <s v="Congo"/>
    <x v="0"/>
    <x v="0"/>
    <m/>
  </r>
  <r>
    <x v="214"/>
    <s v="Maison-Bureau"/>
    <s v="Transport"/>
    <s v="Management"/>
    <x v="24"/>
    <x v="678"/>
    <n v="533.50300000000004"/>
    <s v="DOVI"/>
    <s v="DH-S-D1"/>
    <s v="PALF"/>
    <x v="3"/>
    <s v="Congo"/>
    <x v="0"/>
    <x v="0"/>
    <m/>
  </r>
  <r>
    <x v="214"/>
    <s v="Bureau-Maison"/>
    <s v="Transport"/>
    <s v="Management"/>
    <x v="24"/>
    <x v="678"/>
    <n v="533.50300000000004"/>
    <s v="DOVI"/>
    <s v="DH-S-D1"/>
    <s v="PALF"/>
    <x v="3"/>
    <s v="Congo"/>
    <x v="0"/>
    <x v="0"/>
    <m/>
  </r>
  <r>
    <x v="214"/>
    <s v="P29 - CONGO Ration  du 04 /09/2025  au 05/10/2025 à Dolisie (31 Nuitées)"/>
    <s v="Travel Subsistence"/>
    <s v="Investigation"/>
    <x v="331"/>
    <x v="692"/>
    <n v="533.50300000000004"/>
    <s v="P29"/>
    <s v="P29-S-D2"/>
    <s v="PALF"/>
    <x v="3"/>
    <s v="Congo"/>
    <x v="0"/>
    <x v="0"/>
    <m/>
  </r>
  <r>
    <x v="214"/>
    <s v="Taxi domicile-agence,départ mission"/>
    <s v="Transport"/>
    <s v="Investigation"/>
    <x v="24"/>
    <x v="678"/>
    <n v="533.50300000000004"/>
    <s v="P29"/>
    <s v="P29-S-D1"/>
    <s v="PALF"/>
    <x v="3"/>
    <s v="Congo"/>
    <x v="0"/>
    <x v="0"/>
    <m/>
  </r>
  <r>
    <x v="214"/>
    <s v="Taxi agence-hotel,arrivé à dolisie"/>
    <s v="Transport"/>
    <s v="Investigation"/>
    <x v="24"/>
    <x v="678"/>
    <n v="533.50300000000004"/>
    <s v="P29"/>
    <s v="P29-S-D1"/>
    <s v="PALF"/>
    <x v="3"/>
    <s v="Congo"/>
    <x v="0"/>
    <x v="0"/>
    <m/>
  </r>
  <r>
    <x v="214"/>
    <s v="Taxi hotel-gaya,prospection"/>
    <s v="Transport"/>
    <s v="Investigation"/>
    <x v="24"/>
    <x v="678"/>
    <n v="533.50300000000004"/>
    <s v="P29"/>
    <s v="P29-S-D1"/>
    <s v="PALF"/>
    <x v="3"/>
    <s v="Congo"/>
    <x v="0"/>
    <x v="0"/>
    <m/>
  </r>
  <r>
    <x v="214"/>
    <s v="Taxi gaya-hotel"/>
    <s v="Transport"/>
    <s v="Investigation"/>
    <x v="24"/>
    <x v="678"/>
    <n v="533.50300000000004"/>
    <s v="P29"/>
    <s v="P29-S-D1"/>
    <s v="PALF"/>
    <x v="3"/>
    <s v="Congo"/>
    <x v="0"/>
    <x v="0"/>
    <m/>
  </r>
  <r>
    <x v="214"/>
    <s v="T73 CONGO Ration du 04 au 05/10/2025 à Dolisie (31 Nuitées)"/>
    <s v="Travel Subsistence"/>
    <s v="Investigation"/>
    <x v="331"/>
    <x v="692"/>
    <n v="533.50300000000004"/>
    <s v="T73"/>
    <s v="T73-S-D2"/>
    <s v="PALF"/>
    <x v="3"/>
    <s v="Congo"/>
    <x v="0"/>
    <x v="0"/>
    <m/>
  </r>
  <r>
    <x v="214"/>
    <s v="Taxi : domicile - agence bony"/>
    <s v="Transport"/>
    <s v="Investigation"/>
    <x v="24"/>
    <x v="678"/>
    <n v="533.50300000000004"/>
    <s v="T73"/>
    <s v="T73-S-D1"/>
    <s v="PALF"/>
    <x v="3"/>
    <s v="Congo"/>
    <x v="0"/>
    <x v="0"/>
    <m/>
  </r>
  <r>
    <x v="214"/>
    <s v="Taxi : agence bony - hotel le pharaon"/>
    <s v="Transport"/>
    <s v="Investigation"/>
    <x v="24"/>
    <x v="678"/>
    <n v="533.50300000000004"/>
    <s v="T73"/>
    <s v="T73-S-D1"/>
    <s v="PALF"/>
    <x v="3"/>
    <s v="Congo"/>
    <x v="0"/>
    <x v="0"/>
    <m/>
  </r>
  <r>
    <x v="214"/>
    <s v="IT87-CONGO Ration du 04 au 10/09/2025 à Mouyondzi, Yamba et Bouansa"/>
    <s v="Travel Subsistence"/>
    <s v="Investigation"/>
    <x v="23"/>
    <x v="693"/>
    <n v="533.50300000000004"/>
    <s v="IT87"/>
    <s v="IT87-S-D3"/>
    <s v="PALF"/>
    <x v="3"/>
    <s v="Congo"/>
    <x v="0"/>
    <x v="0"/>
    <m/>
  </r>
  <r>
    <x v="214"/>
    <s v="Taxi : Domicile - Agence Trans Bony/ Départ de Brazzaville pour Mouyondzi"/>
    <s v="Transport"/>
    <s v="Investigation"/>
    <x v="75"/>
    <x v="694"/>
    <n v="533.50300000000004"/>
    <s v="IT87"/>
    <s v="IT87-S-D1"/>
    <s v="PALF"/>
    <x v="3"/>
    <s v="Congo"/>
    <x v="0"/>
    <x v="0"/>
    <m/>
  </r>
  <r>
    <x v="214"/>
    <s v="Taxi tricycle : Agence trans bony - Hôtel DZA MATSAKA/ Arrivé à Mouyondzi"/>
    <s v="Transport"/>
    <s v="Investigation"/>
    <x v="332"/>
    <x v="695"/>
    <n v="533.50300000000004"/>
    <s v="IT87"/>
    <s v="IT87-S-D1"/>
    <s v="PALF"/>
    <x v="3"/>
    <s v="Congo"/>
    <x v="0"/>
    <x v="0"/>
    <m/>
  </r>
  <r>
    <x v="214"/>
    <s v="Taxi moto Hôtel Mithé- Agence Océan du Nord/ Pour le repport des billets"/>
    <s v="Transport "/>
    <s v="Legal"/>
    <x v="294"/>
    <x v="682"/>
    <n v="533.50300000000004"/>
    <s v="Donald-Romeo"/>
    <s v="DR-S-D1"/>
    <s v="PALF"/>
    <x v="3"/>
    <s v="Congo"/>
    <x v="0"/>
    <x v="0"/>
    <m/>
  </r>
  <r>
    <x v="214"/>
    <s v="Taxi moto Agence Océan du Nord-Hôtel Mithé"/>
    <s v="Transport "/>
    <s v="Legal"/>
    <x v="294"/>
    <x v="682"/>
    <n v="533.50300000000004"/>
    <s v="Donald-Romeo"/>
    <s v="DR-S-D1"/>
    <s v="PALF"/>
    <x v="3"/>
    <s v="Congo"/>
    <x v="0"/>
    <x v="0"/>
    <m/>
  </r>
  <r>
    <x v="214"/>
    <s v="Taxi, Bureau PALF-Les Dépêches de Brazzaville"/>
    <s v="Transport"/>
    <s v="Media"/>
    <x v="24"/>
    <x v="678"/>
    <n v="533.50300000000004"/>
    <s v="Evariste"/>
    <s v="EV-S-D1"/>
    <s v="PALF"/>
    <x v="3"/>
    <s v="Congo"/>
    <x v="0"/>
    <x v="0"/>
    <m/>
  </r>
  <r>
    <x v="214"/>
    <s v="Taxi, Les dépêches de Brazzaville-Agence Congolaise d'information"/>
    <s v="Transport"/>
    <s v="Media"/>
    <x v="24"/>
    <x v="678"/>
    <n v="533.50300000000004"/>
    <s v="Evariste"/>
    <s v="EV-S-D1"/>
    <s v="PALF"/>
    <x v="3"/>
    <s v="Congo"/>
    <x v="0"/>
    <x v="0"/>
    <m/>
  </r>
  <r>
    <x v="214"/>
    <s v="Taxi, Agence Congolaise d'Information-Radio Citoyenne des Jeunes"/>
    <s v="Transport"/>
    <s v="Media"/>
    <x v="24"/>
    <x v="678"/>
    <n v="533.50300000000004"/>
    <s v="Evariste"/>
    <s v="EV-S-D1"/>
    <s v="PALF"/>
    <x v="3"/>
    <s v="Congo"/>
    <x v="0"/>
    <x v="0"/>
    <m/>
  </r>
  <r>
    <x v="214"/>
    <s v="Taxi, Radio Citoyenne des jeunes-groupecongomedias.com"/>
    <s v="Transport"/>
    <s v="Media"/>
    <x v="24"/>
    <x v="678"/>
    <n v="533.50300000000004"/>
    <s v="Evariste"/>
    <s v="EV-S-D1"/>
    <s v="PALF"/>
    <x v="3"/>
    <s v="Congo"/>
    <x v="0"/>
    <x v="0"/>
    <m/>
  </r>
  <r>
    <x v="214"/>
    <s v="Taxi, groupecongomedias.com-panoramik-atu.com"/>
    <s v="Transport"/>
    <s v="Media"/>
    <x v="24"/>
    <x v="678"/>
    <n v="533.50300000000004"/>
    <s v="Evariste"/>
    <s v="EV-S-D1"/>
    <s v="PALF"/>
    <x v="3"/>
    <s v="Congo"/>
    <x v="0"/>
    <x v="0"/>
    <m/>
  </r>
  <r>
    <x v="214"/>
    <s v="Taxi, panoramik-actu.com-tribune-eco.com"/>
    <s v="Transport"/>
    <s v="Media"/>
    <x v="24"/>
    <x v="678"/>
    <n v="533.50300000000004"/>
    <s v="Evariste"/>
    <s v="EV-S-D1"/>
    <s v="PALF"/>
    <x v="3"/>
    <s v="Congo"/>
    <x v="0"/>
    <x v="0"/>
    <m/>
  </r>
  <r>
    <x v="214"/>
    <s v="Taxi, tribune-eco.com-Bureau PALF"/>
    <s v="Transport"/>
    <s v="Media"/>
    <x v="24"/>
    <x v="678"/>
    <n v="533.50300000000004"/>
    <s v="Evariste"/>
    <s v="EV-S-D1"/>
    <s v="PALF"/>
    <x v="3"/>
    <s v="Congo"/>
    <x v="0"/>
    <x v="0"/>
    <m/>
  </r>
  <r>
    <x v="214"/>
    <s v="Bonus media portant sur l'interpelation d'une trafiquante de produit de faune le 25 août 2025 à Impfondo  pièces presse Internet (https://www.panoramik-actu.com)"/>
    <s v="Bonus to media officer"/>
    <s v="Media"/>
    <x v="63"/>
    <x v="696"/>
    <n v="533.50300000000004"/>
    <s v="Evariste"/>
    <s v="CA-S-D1"/>
    <s v="PALF"/>
    <x v="3"/>
    <s v="Congo"/>
    <x v="0"/>
    <x v="0"/>
    <m/>
  </r>
  <r>
    <x v="214"/>
    <s v="Bonus media portant sur l'interpelation d'une trafiquante de produit de faune le 25 août 2025 à Impfondo pièces presse Internet (https://www.tribune-eco.cg)"/>
    <s v="Bonus to media officer"/>
    <s v="Media"/>
    <x v="63"/>
    <x v="696"/>
    <n v="533.50300000000004"/>
    <s v="Evariste"/>
    <s v="CA-S-D1"/>
    <s v="PALF"/>
    <x v="3"/>
    <s v="Congo"/>
    <x v="0"/>
    <x v="0"/>
    <m/>
  </r>
  <r>
    <x v="214"/>
    <s v="Bonus media portant sur l'interpelation d'une trafiquante de produit de faune le 25 août 2025 à Impfondo pièces presse Internet (https://www.groupecongomedias.com)"/>
    <s v="Bonus to media officer"/>
    <s v="Media"/>
    <x v="63"/>
    <x v="696"/>
    <n v="533.50300000000004"/>
    <s v="Evariste"/>
    <s v="CA-S-D1"/>
    <s v="PALF"/>
    <x v="3"/>
    <s v="Congo"/>
    <x v="0"/>
    <x v="0"/>
    <m/>
  </r>
  <r>
    <x v="214"/>
    <s v="Bonus media portant sur l'interpelation d'une trafiquante de produit de faune le 25 août 2025 à Impfondo pièces presse Internet (https://www.labreveonline.com)"/>
    <s v="Bonus to media officer"/>
    <s v="Media"/>
    <x v="63"/>
    <x v="696"/>
    <n v="533.50300000000004"/>
    <s v="Evariste"/>
    <s v="CA-S-D1"/>
    <s v="PALF"/>
    <x v="3"/>
    <s v="Congo"/>
    <x v="0"/>
    <x v="0"/>
    <m/>
  </r>
  <r>
    <x v="214"/>
    <s v="Bonus media portant sur l'interpelation d'une trafiquante de produit de faune le 25 août 2025 à Impfondo pièces presse Internet (https://www.adiac-congo.com)"/>
    <s v="Bonus to media officer"/>
    <s v="Media"/>
    <x v="63"/>
    <x v="696"/>
    <n v="533.50300000000004"/>
    <s v="Evariste"/>
    <s v="CA-S-D1"/>
    <s v="PALF"/>
    <x v="3"/>
    <s v="Congo"/>
    <x v="0"/>
    <x v="0"/>
    <m/>
  </r>
  <r>
    <x v="214"/>
    <s v="Bonus media portant sur l'interpelation d'une trafiquante de produit de faune le 25 août 2025 à Impfondo pièces presse Internet (https://www.lasemaineafricaine.info)"/>
    <s v="Bonus to media officer"/>
    <s v="Media"/>
    <x v="63"/>
    <x v="696"/>
    <n v="533.50300000000004"/>
    <s v="Evariste"/>
    <s v="CA-S-D1"/>
    <s v="PALF"/>
    <x v="3"/>
    <s v="Congo"/>
    <x v="0"/>
    <x v="0"/>
    <m/>
  </r>
  <r>
    <x v="214"/>
    <s v="Bonus media portant sur l'interpelation d'une trafiquante de produit de faune le 25 août 2025 à Impfondo pièces presse Internet (https://www.matinlibre.cg)"/>
    <s v="Bonus to media officer"/>
    <s v="Media"/>
    <x v="63"/>
    <x v="696"/>
    <n v="533.50300000000004"/>
    <s v="Evariste"/>
    <s v="CA-S-D1"/>
    <s v="PALF"/>
    <x v="3"/>
    <s v="Congo"/>
    <x v="0"/>
    <x v="0"/>
    <m/>
  </r>
  <r>
    <x v="214"/>
    <s v="Bonus media portant sur l'interpelation d'une trafiquante de produit de faune le 25 août 2025 à Impfondo pièces presse Internet (https://www.firstmediac.com)"/>
    <s v="Bonus to media officer"/>
    <s v="Media"/>
    <x v="63"/>
    <x v="696"/>
    <n v="533.50300000000004"/>
    <s v="Evariste"/>
    <s v="CA-S-D1"/>
    <s v="PALF"/>
    <x v="3"/>
    <s v="Congo"/>
    <x v="0"/>
    <x v="0"/>
    <m/>
  </r>
  <r>
    <x v="214"/>
    <s v="Bonus media portant sur l'interpelation d'une trafiquante de produit de faune le 25 août 2025 à Impfondo pièces presse Internet (https://www.journaldebrazza.com)"/>
    <s v="Bonus to media officer"/>
    <s v="Media"/>
    <x v="63"/>
    <x v="696"/>
    <n v="533.50300000000004"/>
    <s v="Evariste"/>
    <s v="CA-S-D1"/>
    <s v="PALF"/>
    <x v="3"/>
    <s v="Congo"/>
    <x v="0"/>
    <x v="0"/>
    <m/>
  </r>
  <r>
    <x v="214"/>
    <s v="Bonus media portant sur l'interpelation d'une trafiquante de produit de faune le 25 août 2025 à Impfondo pièces presse Internet (https://vmmedias.info)"/>
    <s v="Bonus to media officer"/>
    <s v="Media"/>
    <x v="63"/>
    <x v="696"/>
    <n v="533.50300000000004"/>
    <s v="Evariste"/>
    <s v="CA-S-D1"/>
    <s v="PALF"/>
    <x v="3"/>
    <s v="Congo"/>
    <x v="0"/>
    <x v="0"/>
    <m/>
  </r>
  <r>
    <x v="214"/>
    <s v="Bonus media portant sur l'interpelation d'une trafiquante de produit de faune le 25 août 2025 à Impfondo pièces presse Internet (https://aci.cg)"/>
    <s v="Bonus to media officer"/>
    <s v="Media"/>
    <x v="63"/>
    <x v="696"/>
    <n v="533.50300000000004"/>
    <s v="Evariste"/>
    <s v="CA-S-D1"/>
    <s v="PALF"/>
    <x v="3"/>
    <s v="Congo"/>
    <x v="0"/>
    <x v="0"/>
    <m/>
  </r>
  <r>
    <x v="214"/>
    <s v="Bonus media portant sur l'interpelation d'une trafiquante de produit de faune le 25 août 2025 à Impfondo pièces presse Internet (https://lesechos-congobrazza.com/)"/>
    <s v="Bonus to media officer"/>
    <s v="Media"/>
    <x v="63"/>
    <x v="696"/>
    <n v="533.50300000000004"/>
    <s v="Evariste"/>
    <s v="CA-S-D1"/>
    <s v="PALF"/>
    <x v="3"/>
    <s v="Congo"/>
    <x v="0"/>
    <x v="0"/>
    <m/>
  </r>
  <r>
    <x v="214"/>
    <s v="Bonus media portant sur l'interpelation d'une trafiquante de produit de faune le 25 août 2025 à Impfondo pièces presse Internet (https://opinionpublique.cg)"/>
    <s v="Bonus to media officer"/>
    <s v="Media"/>
    <x v="63"/>
    <x v="696"/>
    <n v="533.50300000000004"/>
    <s v="Evariste"/>
    <s v="CA-S-D1"/>
    <s v="PALF"/>
    <x v="3"/>
    <s v="Congo"/>
    <x v="0"/>
    <x v="0"/>
    <m/>
  </r>
  <r>
    <x v="214"/>
    <s v="Bonus media portant sur l'interpelation d'une trafiquante de produit de faune le 25 août 2025 à Impfondo pièces presse Internet (https://www.lhorizonafricain.com)"/>
    <s v="Bonus to media officer"/>
    <s v="Media"/>
    <x v="63"/>
    <x v="696"/>
    <n v="533.50300000000004"/>
    <s v="Evariste"/>
    <s v="CA-S-D1"/>
    <s v="PALF"/>
    <x v="3"/>
    <s v="Congo"/>
    <x v="0"/>
    <x v="0"/>
    <m/>
  </r>
  <r>
    <x v="214"/>
    <s v="Bonus media portant sur l'interpelation d'une trafiquante de produit de faune le 25 août 2025 à Impfondo pièces presse Papier (Dépêches de Brazzaville)"/>
    <s v="Bonus to media officer"/>
    <s v="Media"/>
    <x v="4"/>
    <x v="681"/>
    <n v="533.50300000000004"/>
    <s v="Evariste"/>
    <s v="CA-S-D2"/>
    <s v="PALF"/>
    <x v="3"/>
    <s v="Congo"/>
    <x v="0"/>
    <x v="0"/>
    <m/>
  </r>
  <r>
    <x v="214"/>
    <s v="Bonus media portant sur l'interpelation d'une trafiquante de produit de faune le 25 août 2025 à Impfondo pièces presse Papier (la semaine Africaine)"/>
    <s v="Bonus to media officer"/>
    <s v="Media"/>
    <x v="4"/>
    <x v="681"/>
    <n v="533.50300000000004"/>
    <s v="Evariste"/>
    <s v="CA-S-D2"/>
    <s v="PALF"/>
    <x v="3"/>
    <s v="Congo"/>
    <x v="0"/>
    <x v="0"/>
    <m/>
  </r>
  <r>
    <x v="214"/>
    <s v="Bonus media portant sur l'interpelation d'une trafiquante de produit de faune le 25 août 2025 à Impfondo pièces presse Papier( l'horizon Africain)"/>
    <s v="Bonus to media officer"/>
    <s v="Media"/>
    <x v="4"/>
    <x v="681"/>
    <n v="533.50300000000004"/>
    <s v="Evariste"/>
    <s v="CA-S-D2"/>
    <s v="PALF"/>
    <x v="3"/>
    <s v="Congo"/>
    <x v="0"/>
    <x v="0"/>
    <m/>
  </r>
  <r>
    <x v="214"/>
    <s v="Bonus media portant sur l'interpelation d'une trafiquante de produit de faune le 25 août 2025 à Impfondo pièces presse Papier (l'Agence congolaise de l'information)"/>
    <s v="Bonus to media officer"/>
    <s v="Media"/>
    <x v="4"/>
    <x v="681"/>
    <n v="533.50300000000004"/>
    <s v="Evariste"/>
    <s v="CA-S-D2"/>
    <s v="PALF"/>
    <x v="3"/>
    <s v="Congo"/>
    <x v="0"/>
    <x v="0"/>
    <m/>
  </r>
  <r>
    <x v="214"/>
    <s v="Bonus media portant sur l'interpelation d'une trafiquante de produit de faune le 25 août 2025 à Impfondo pièces presse Radio (radio citoyenne des jeunes)"/>
    <s v="Bonus to media officer"/>
    <s v="Media"/>
    <x v="63"/>
    <x v="696"/>
    <n v="533.50300000000004"/>
    <s v="Evariste"/>
    <s v="CA-S-D3"/>
    <s v="PALF"/>
    <x v="3"/>
    <s v="Congo"/>
    <x v="0"/>
    <x v="0"/>
    <m/>
  </r>
  <r>
    <x v="214"/>
    <s v="Bonus media portant sur l'interpelation d'une trafiquante de produit de faune le 25 août 2025 à Impfondo pièces presse Radio (radioLiberté français)"/>
    <s v="Bonus to media officer"/>
    <s v="Media"/>
    <x v="63"/>
    <x v="696"/>
    <n v="533.50300000000004"/>
    <s v="Evariste"/>
    <s v="CA-S-D3"/>
    <s v="PALF"/>
    <x v="3"/>
    <s v="Congo"/>
    <x v="0"/>
    <x v="0"/>
    <m/>
  </r>
  <r>
    <x v="214"/>
    <s v="Bonus media portant sur l'interpelation d'une trafiquante de produit de faune le 25 août 2025 à Impfondo pièces presse Radio (radioLiberté kituba)"/>
    <s v="Bonus to media officer"/>
    <s v="Media"/>
    <x v="63"/>
    <x v="696"/>
    <n v="533.50300000000004"/>
    <s v="Evariste"/>
    <s v="CA-S-D3"/>
    <s v="PALF"/>
    <x v="3"/>
    <s v="Congo"/>
    <x v="0"/>
    <x v="0"/>
    <m/>
  </r>
  <r>
    <x v="214"/>
    <s v="Bonus media portant sur l'interpelation d'une trafiquante de produit de faune le 25 août 2025 à Impfondo pièces presse Radio (radioLiberté lingala)"/>
    <s v="Bonus to media officer"/>
    <s v="Media"/>
    <x v="63"/>
    <x v="696"/>
    <n v="533.50300000000004"/>
    <s v="Evariste"/>
    <s v="CA-S-D3"/>
    <s v="PALF"/>
    <x v="3"/>
    <s v="Congo"/>
    <x v="0"/>
    <x v="0"/>
    <m/>
  </r>
  <r>
    <x v="215"/>
    <s v="Maison-Bureau"/>
    <s v="Transport"/>
    <s v="Management"/>
    <x v="24"/>
    <x v="678"/>
    <n v="533.50300000000004"/>
    <s v="DOVI"/>
    <s v="DH-S-D1"/>
    <s v="PALF"/>
    <x v="3"/>
    <s v="Congo"/>
    <x v="0"/>
    <x v="0"/>
    <m/>
  </r>
  <r>
    <x v="215"/>
    <s v="Bureau-Maison"/>
    <s v="Transport"/>
    <s v="Management"/>
    <x v="24"/>
    <x v="678"/>
    <n v="533.50300000000004"/>
    <s v="DOVI"/>
    <s v="DH-S-D1"/>
    <s v="PALF"/>
    <x v="3"/>
    <s v="Congo"/>
    <x v="0"/>
    <x v="0"/>
    <m/>
  </r>
  <r>
    <x v="215"/>
    <s v="Taxi hotel-capable,prospection"/>
    <s v="Transport"/>
    <s v="Investigation"/>
    <x v="24"/>
    <x v="678"/>
    <n v="533.50300000000004"/>
    <s v="P29"/>
    <s v="P29-S-D1"/>
    <s v="PALF"/>
    <x v="3"/>
    <s v="Congo"/>
    <x v="0"/>
    <x v="0"/>
    <m/>
  </r>
  <r>
    <x v="215"/>
    <s v="Taxi capable-centre,prospection"/>
    <s v="Transport"/>
    <s v="Investigation"/>
    <x v="24"/>
    <x v="678"/>
    <n v="533.50300000000004"/>
    <s v="P29"/>
    <s v="P29-S-D1"/>
    <s v="PALF"/>
    <x v="3"/>
    <s v="Congo"/>
    <x v="0"/>
    <x v="0"/>
    <m/>
  </r>
  <r>
    <x v="215"/>
    <s v="Taxi centre-tahiti,prospection"/>
    <s v="Transport"/>
    <s v="Investigation"/>
    <x v="24"/>
    <x v="678"/>
    <n v="533.50300000000004"/>
    <s v="P29"/>
    <s v="P29-S-D1"/>
    <s v="PALF"/>
    <x v="3"/>
    <s v="Congo"/>
    <x v="0"/>
    <x v="0"/>
    <m/>
  </r>
  <r>
    <x v="215"/>
    <s v="Taxi tahiti-marché,prospection"/>
    <s v="Transport"/>
    <s v="Investigation"/>
    <x v="24"/>
    <x v="678"/>
    <n v="533.50300000000004"/>
    <s v="P29"/>
    <s v="P29-S-D1"/>
    <s v="PALF"/>
    <x v="3"/>
    <s v="Congo"/>
    <x v="0"/>
    <x v="0"/>
    <m/>
  </r>
  <r>
    <x v="215"/>
    <s v="Taxi marché-hotel"/>
    <s v="Transport"/>
    <s v="Investigation"/>
    <x v="24"/>
    <x v="678"/>
    <n v="533.50300000000004"/>
    <s v="P29"/>
    <s v="P29-S-D1"/>
    <s v="PALF"/>
    <x v="3"/>
    <s v="Congo"/>
    <x v="0"/>
    <x v="0"/>
    <m/>
  </r>
  <r>
    <x v="215"/>
    <s v="Achat boison avec un cible"/>
    <s v="Trust Building"/>
    <s v="Investigation"/>
    <x v="24"/>
    <x v="678"/>
    <n v="533.50300000000004"/>
    <s v="P29"/>
    <s v="P29-S-D3"/>
    <s v="PALF"/>
    <x v="3"/>
    <s v="Congo"/>
    <x v="0"/>
    <x v="0"/>
    <m/>
  </r>
  <r>
    <x v="215"/>
    <s v="Taxi : hotel le pharaon - marché (prosoection à dolisie)"/>
    <s v="Transport"/>
    <s v="Investigation"/>
    <x v="24"/>
    <x v="678"/>
    <n v="533.50300000000004"/>
    <s v="T73"/>
    <s v="T73-S-D1"/>
    <s v="PALF"/>
    <x v="3"/>
    <s v="Congo"/>
    <x v="0"/>
    <x v="0"/>
    <m/>
  </r>
  <r>
    <x v="215"/>
    <s v="Taxi : marché - centre ville (prosoection à dolisie)"/>
    <s v="Transport"/>
    <s v="Investigation"/>
    <x v="24"/>
    <x v="678"/>
    <n v="533.50300000000004"/>
    <s v="T73"/>
    <s v="T73-S-D1"/>
    <s v="PALF"/>
    <x v="3"/>
    <s v="Congo"/>
    <x v="0"/>
    <x v="0"/>
    <m/>
  </r>
  <r>
    <x v="215"/>
    <s v="Taxi : centre ville - mony fleury (prosoection à dolisie)"/>
    <s v="Transport"/>
    <s v="Investigation"/>
    <x v="24"/>
    <x v="678"/>
    <n v="533.50300000000004"/>
    <s v="T73"/>
    <s v="T73-S-D1"/>
    <s v="PALF"/>
    <x v="3"/>
    <s v="Congo"/>
    <x v="0"/>
    <x v="0"/>
    <m/>
  </r>
  <r>
    <x v="215"/>
    <s v="Taxi : mony fleury - charden farel (prosoection à dolisie)"/>
    <s v="Transport"/>
    <s v="Investigation"/>
    <x v="24"/>
    <x v="678"/>
    <n v="533.50300000000004"/>
    <s v="T73"/>
    <s v="T73-S-D1"/>
    <s v="PALF"/>
    <x v="3"/>
    <s v="Congo"/>
    <x v="0"/>
    <x v="0"/>
    <m/>
  </r>
  <r>
    <x v="215"/>
    <s v="Taxi : charden farel - hotel (prosoection à dolisie)"/>
    <s v="Transport"/>
    <s v="Investigation"/>
    <x v="24"/>
    <x v="678"/>
    <n v="533.50300000000004"/>
    <s v="T73"/>
    <s v="T73-S-D1"/>
    <s v="PALF"/>
    <x v="3"/>
    <s v="Congo"/>
    <x v="0"/>
    <x v="0"/>
    <m/>
  </r>
  <r>
    <x v="215"/>
    <s v="achat boisson/une cible"/>
    <s v="Trust Building"/>
    <s v="Investigation"/>
    <x v="70"/>
    <x v="697"/>
    <n v="533.50300000000004"/>
    <s v="T73"/>
    <s v="T73-S-D3"/>
    <s v="PALF"/>
    <x v="3"/>
    <s v="Congo"/>
    <x v="0"/>
    <x v="0"/>
    <m/>
  </r>
  <r>
    <x v="215"/>
    <s v="Taxi tricycle : Hôtel - Nkila/ Prospection"/>
    <s v="Transport"/>
    <s v="Investigation"/>
    <x v="295"/>
    <x v="698"/>
    <n v="533.50300000000004"/>
    <s v="IT87"/>
    <s v="IT87-S-D1"/>
    <s v="PALF"/>
    <x v="3"/>
    <s v="Congo"/>
    <x v="0"/>
    <x v="0"/>
    <m/>
  </r>
  <r>
    <x v="215"/>
    <s v="Taxi tricycle : Nkila - Place publique/ Prospection"/>
    <s v="Transport"/>
    <s v="Investigation"/>
    <x v="332"/>
    <x v="695"/>
    <n v="533.50300000000004"/>
    <s v="IT87"/>
    <s v="IT87-S-D1"/>
    <s v="PALF"/>
    <x v="3"/>
    <s v="Congo"/>
    <x v="0"/>
    <x v="0"/>
    <m/>
  </r>
  <r>
    <x v="215"/>
    <s v="Achat boisson avec une cible"/>
    <s v="Trust Building"/>
    <s v="Investigation"/>
    <x v="70"/>
    <x v="697"/>
    <n v="533.50300000000004"/>
    <s v="IT87"/>
    <s v="IT87-S-D2"/>
    <s v="PALF"/>
    <x v="3"/>
    <s v="Congo"/>
    <x v="0"/>
    <x v="0"/>
    <m/>
  </r>
  <r>
    <x v="215"/>
    <s v="Taxi tricycle : Place publique - Charden Farell/ Retrait d'argent"/>
    <s v="Transport"/>
    <s v="Investigation"/>
    <x v="332"/>
    <x v="695"/>
    <n v="533.50300000000004"/>
    <s v="IT87"/>
    <s v="IT87-S-D1"/>
    <s v="PALF"/>
    <x v="3"/>
    <s v="Congo"/>
    <x v="0"/>
    <x v="0"/>
    <m/>
  </r>
  <r>
    <x v="215"/>
    <s v="Taxi tricycle : Charden Farel - Rond point/ Prospection"/>
    <s v="Transport"/>
    <s v="Investigation"/>
    <x v="295"/>
    <x v="698"/>
    <n v="533.50300000000004"/>
    <s v="IT87"/>
    <s v="IT87-S-D1"/>
    <s v="PALF"/>
    <x v="3"/>
    <s v="Congo"/>
    <x v="0"/>
    <x v="0"/>
    <m/>
  </r>
  <r>
    <x v="215"/>
    <s v="Taxi tricycle : Rond point - Av. Midzingou/ Prospection"/>
    <s v="Transport"/>
    <s v="Investigation"/>
    <x v="295"/>
    <x v="698"/>
    <n v="533.50300000000004"/>
    <s v="IT87"/>
    <s v="IT87-S-D1"/>
    <s v="PALF"/>
    <x v="3"/>
    <s v="Congo"/>
    <x v="0"/>
    <x v="0"/>
    <m/>
  </r>
  <r>
    <x v="215"/>
    <s v="Taxi tricycle : Av. Midzingou - Hôtel/ Retour de Prospection"/>
    <s v="Transport"/>
    <s v="Investigation"/>
    <x v="295"/>
    <x v="698"/>
    <n v="533.50300000000004"/>
    <s v="IT87"/>
    <s v="IT87-S-D1"/>
    <s v="PALF"/>
    <x v="3"/>
    <s v="Congo"/>
    <x v="0"/>
    <x v="0"/>
    <m/>
  </r>
  <r>
    <x v="215"/>
    <s v="Taxi: Bureau-Charden Farell/Transfert de fonds"/>
    <s v="Transport"/>
    <s v="Legal"/>
    <x v="294"/>
    <x v="682"/>
    <n v="533.50300000000004"/>
    <s v="Abraham"/>
    <s v="AB-S-D1"/>
    <s v="PALF"/>
    <x v="3"/>
    <s v="Congo"/>
    <x v="0"/>
    <x v="0"/>
    <m/>
  </r>
  <r>
    <x v="215"/>
    <s v="Taxi: Charden Farel-Bureau"/>
    <s v="Transport"/>
    <s v="Legal"/>
    <x v="294"/>
    <x v="682"/>
    <n v="533.50300000000004"/>
    <s v="Abraham"/>
    <s v="AB-S-D1"/>
    <s v="PALF"/>
    <x v="3"/>
    <s v="Congo"/>
    <x v="0"/>
    <x v="0"/>
    <m/>
  </r>
  <r>
    <x v="215"/>
    <s v="Taxi: Bureau-DGEF Dépôt des contrats"/>
    <s v="Transport"/>
    <s v="Legal"/>
    <x v="24"/>
    <x v="678"/>
    <n v="533.50300000000004"/>
    <s v="Abraham"/>
    <s v="AB-S-D1"/>
    <s v="PALF"/>
    <x v="3"/>
    <s v="Congo"/>
    <x v="0"/>
    <x v="0"/>
    <m/>
  </r>
  <r>
    <x v="215"/>
    <s v="Taxi: DGEF-Bureau"/>
    <s v="Transport"/>
    <s v="Legal"/>
    <x v="24"/>
    <x v="678"/>
    <n v="533.50300000000004"/>
    <s v="Abraham"/>
    <s v="AB-S-D1"/>
    <s v="PALF"/>
    <x v="3"/>
    <s v="Congo"/>
    <x v="0"/>
    <x v="0"/>
    <m/>
  </r>
  <r>
    <x v="215"/>
    <s v="Frais de tansfert d'argent à P29, Crepin,T73, IT87 et Donald-Roméo"/>
    <s v="Transfert fees"/>
    <s v="Office"/>
    <x v="333"/>
    <x v="699"/>
    <n v="533.50300000000004"/>
    <s v="Abraham"/>
    <s v="CA-S-R7"/>
    <s v="PALF"/>
    <x v="3"/>
    <s v="Congo"/>
    <x v="0"/>
    <x v="0"/>
    <m/>
  </r>
  <r>
    <x v="215"/>
    <s v="Taxi: Bureau-Charden Farell/Transfert de fonds"/>
    <s v="Transport"/>
    <s v="Legal"/>
    <x v="294"/>
    <x v="682"/>
    <n v="533.50300000000004"/>
    <s v="Abraham"/>
    <s v="AB-S-D1"/>
    <s v="PALF"/>
    <x v="3"/>
    <s v="Congo"/>
    <x v="0"/>
    <x v="0"/>
    <m/>
  </r>
  <r>
    <x v="215"/>
    <s v="Taxi: Charden Farel-Bureau"/>
    <s v="Transport"/>
    <s v="Legal"/>
    <x v="294"/>
    <x v="682"/>
    <n v="533.50300000000004"/>
    <s v="Abraham"/>
    <s v="AB-S-D1"/>
    <s v="PALF"/>
    <x v="3"/>
    <s v="Congo"/>
    <x v="0"/>
    <x v="0"/>
    <m/>
  </r>
  <r>
    <x v="215"/>
    <s v="RODERLIN-CONGO Frais d'hôtel du 30/08/ au 05/09/2025 à Impfondo (06 nuitée)"/>
    <s v="Travel Subsistence"/>
    <s v="Legal"/>
    <x v="35"/>
    <x v="700"/>
    <n v="533.50300000000004"/>
    <s v="Roderlin"/>
    <s v="RO-S-R3"/>
    <s v="PALF"/>
    <x v="3"/>
    <s v="Congo"/>
    <x v="0"/>
    <x v="0"/>
    <m/>
  </r>
  <r>
    <x v="215"/>
    <s v="Tax-moto:Hôtel Mithe-Agence Océan du nord "/>
    <s v="Transport"/>
    <s v="Legal"/>
    <x v="294"/>
    <x v="682"/>
    <n v="533.50300000000004"/>
    <s v="Roderlin"/>
    <s v="RO-S-D1"/>
    <s v="PALF"/>
    <x v="3"/>
    <s v="Congo"/>
    <x v="0"/>
    <x v="0"/>
    <m/>
  </r>
  <r>
    <x v="215"/>
    <s v="Taxi-moto:Agence Océan du nord de Enyele-Hôtel Paulina "/>
    <s v="Transport"/>
    <s v="Legal"/>
    <x v="294"/>
    <x v="682"/>
    <n v="533.50300000000004"/>
    <s v="Roderlin"/>
    <s v="RO-S-D1"/>
    <s v="PALF"/>
    <x v="3"/>
    <s v="Congo"/>
    <x v="0"/>
    <x v="0"/>
    <m/>
  </r>
  <r>
    <x v="215"/>
    <s v="Taxi moto Hôtel Mithé-Charden farell/ Retrait de fonds"/>
    <s v="Transport "/>
    <s v="Legal"/>
    <x v="294"/>
    <x v="682"/>
    <n v="533.50300000000004"/>
    <s v="Donald-Romeo"/>
    <s v="DR-S-D1"/>
    <s v="PALF"/>
    <x v="3"/>
    <s v="Congo"/>
    <x v="0"/>
    <x v="0"/>
    <m/>
  </r>
  <r>
    <x v="215"/>
    <s v="Taxi moto Charden farell-Hôtel Mithé"/>
    <s v="Transport "/>
    <s v="Legal"/>
    <x v="294"/>
    <x v="682"/>
    <n v="533.50300000000004"/>
    <s v="Donald-Romeo"/>
    <s v="DR-S-D1"/>
    <s v="PALF"/>
    <x v="3"/>
    <s v="Congo"/>
    <x v="0"/>
    <x v="0"/>
    <m/>
  </r>
  <r>
    <x v="215"/>
    <s v="Taxi, Bureau PALF-firstmedias.com"/>
    <s v="Transport"/>
    <s v="Media"/>
    <x v="24"/>
    <x v="678"/>
    <n v="533.50300000000004"/>
    <s v="Evariste"/>
    <s v="EV-S-D1"/>
    <s v="PALF"/>
    <x v="3"/>
    <s v="Congo"/>
    <x v="0"/>
    <x v="0"/>
    <m/>
  </r>
  <r>
    <x v="215"/>
    <s v="Taxi, firstmedias.com-Radio Liberté"/>
    <s v="Transport"/>
    <s v="Media"/>
    <x v="24"/>
    <x v="678"/>
    <n v="533.50300000000004"/>
    <s v="Evariste"/>
    <s v="EV-S-D1"/>
    <s v="PALF"/>
    <x v="3"/>
    <s v="Congo"/>
    <x v="0"/>
    <x v="0"/>
    <m/>
  </r>
  <r>
    <x v="215"/>
    <s v="Taxi, Radio Liberté-La Semaine Africaine"/>
    <s v="Transport"/>
    <s v="Media"/>
    <x v="24"/>
    <x v="678"/>
    <n v="533.50300000000004"/>
    <s v="Evariste"/>
    <s v="EV-S-D1"/>
    <s v="PALF"/>
    <x v="3"/>
    <s v="Congo"/>
    <x v="0"/>
    <x v="0"/>
    <m/>
  </r>
  <r>
    <x v="215"/>
    <s v="Taxi, La Semaine Africaine-Bureau PALF"/>
    <s v="Transport"/>
    <s v="Media"/>
    <x v="24"/>
    <x v="678"/>
    <n v="533.50300000000004"/>
    <s v="Evariste"/>
    <s v="EV-S-D1"/>
    <s v="PALF"/>
    <x v="3"/>
    <s v="Congo"/>
    <x v="0"/>
    <x v="0"/>
    <m/>
  </r>
  <r>
    <x v="216"/>
    <s v="Taxi moto: Hôtel-Gendarmerie"/>
    <s v="Transport"/>
    <s v="Legal"/>
    <x v="294"/>
    <x v="682"/>
    <n v="533.50300000000004"/>
    <s v="Crepin"/>
    <s v="CR-S-D1"/>
    <s v="PALF"/>
    <x v="3"/>
    <s v="Congo"/>
    <x v="0"/>
    <x v="0"/>
    <m/>
  </r>
  <r>
    <x v="216"/>
    <s v="Taxi moto: Gendarmerie-Hôtel"/>
    <s v="Transport"/>
    <s v="Legal"/>
    <x v="294"/>
    <x v="682"/>
    <n v="533.50300000000004"/>
    <s v="Crepin"/>
    <s v="CR-S-D1"/>
    <s v="PALF"/>
    <x v="3"/>
    <s v="Congo"/>
    <x v="0"/>
    <x v="0"/>
    <m/>
  </r>
  <r>
    <x v="216"/>
    <s v="Taxi hotel-capable,prospection"/>
    <s v="Transport"/>
    <s v="Investigation"/>
    <x v="24"/>
    <x v="678"/>
    <n v="533.50300000000004"/>
    <s v="P29"/>
    <s v="P29-S-D1"/>
    <s v="PALF"/>
    <x v="3"/>
    <s v="Congo"/>
    <x v="0"/>
    <x v="0"/>
    <m/>
  </r>
  <r>
    <x v="216"/>
    <s v="Taxi capable-sab,prospection"/>
    <s v="Transport"/>
    <s v="Investigation"/>
    <x v="24"/>
    <x v="678"/>
    <n v="533.50300000000004"/>
    <s v="P29"/>
    <s v="P29-S-D1"/>
    <s v="PALF"/>
    <x v="3"/>
    <s v="Congo"/>
    <x v="0"/>
    <x v="0"/>
    <m/>
  </r>
  <r>
    <x v="216"/>
    <s v="Taxi sab-belolo,prospection"/>
    <s v="Transport"/>
    <s v="Investigation"/>
    <x v="24"/>
    <x v="678"/>
    <n v="533.50300000000004"/>
    <s v="P29"/>
    <s v="P29-S-D1"/>
    <s v="PALF"/>
    <x v="3"/>
    <s v="Congo"/>
    <x v="0"/>
    <x v="0"/>
    <m/>
  </r>
  <r>
    <x v="216"/>
    <s v="Taxi belolo-bacongo,prospection"/>
    <s v="Transport"/>
    <s v="Investigation"/>
    <x v="24"/>
    <x v="678"/>
    <n v="533.50300000000004"/>
    <s v="P29"/>
    <s v="P29-S-D1"/>
    <s v="PALF"/>
    <x v="3"/>
    <s v="Congo"/>
    <x v="0"/>
    <x v="0"/>
    <m/>
  </r>
  <r>
    <x v="216"/>
    <s v="Taxi bacongo-hotel"/>
    <s v="Transport"/>
    <s v="Investigation"/>
    <x v="24"/>
    <x v="678"/>
    <n v="533.50300000000004"/>
    <s v="P29"/>
    <s v="P29-S-D1"/>
    <s v="PALF"/>
    <x v="3"/>
    <s v="Congo"/>
    <x v="0"/>
    <x v="0"/>
    <m/>
  </r>
  <r>
    <x v="216"/>
    <s v="Achat boison avec un cible"/>
    <s v="Trust Building"/>
    <s v="Investigation"/>
    <x v="70"/>
    <x v="697"/>
    <n v="533.50300000000004"/>
    <s v="P29"/>
    <s v="P29-S-D3"/>
    <s v="PALF"/>
    <x v="3"/>
    <s v="Congo"/>
    <x v="0"/>
    <x v="0"/>
    <m/>
  </r>
  <r>
    <x v="216"/>
    <s v="Taxi : hotel - gare routière (départ pour loudima)"/>
    <s v="Transport"/>
    <s v="Investigation"/>
    <x v="24"/>
    <x v="678"/>
    <n v="533.50300000000004"/>
    <s v="T73"/>
    <s v="T73-S-D1"/>
    <s v="PALF"/>
    <x v="3"/>
    <s v="Congo"/>
    <x v="0"/>
    <x v="0"/>
    <m/>
  </r>
  <r>
    <x v="216"/>
    <s v="Achat billet : dolisie - loudima/T73"/>
    <s v="Transport"/>
    <s v="Investigation"/>
    <x v="67"/>
    <x v="701"/>
    <n v="533.50300000000004"/>
    <s v="T73"/>
    <s v="T73-S-R4"/>
    <s v="PALF"/>
    <x v="3"/>
    <s v="Congo"/>
    <x v="0"/>
    <x v="0"/>
    <m/>
  </r>
  <r>
    <x v="216"/>
    <s v="Taxi moto : parking - RN1 ( prospection à loudima)"/>
    <s v="Transport"/>
    <s v="Investigation"/>
    <x v="24"/>
    <x v="678"/>
    <n v="533.50300000000004"/>
    <s v="T73"/>
    <s v="T73-S-D1"/>
    <s v="PALF"/>
    <x v="3"/>
    <s v="Congo"/>
    <x v="0"/>
    <x v="0"/>
    <m/>
  </r>
  <r>
    <x v="216"/>
    <s v="Taxi moto : RN1 - marché ( prospection à loudima)"/>
    <s v="Transport"/>
    <s v="Investigation"/>
    <x v="24"/>
    <x v="678"/>
    <n v="533.50300000000004"/>
    <s v="T73"/>
    <s v="T73-S-D1"/>
    <s v="PALF"/>
    <x v="3"/>
    <s v="Congo"/>
    <x v="0"/>
    <x v="0"/>
    <m/>
  </r>
  <r>
    <x v="216"/>
    <s v="Taxi moto : marché- centre ville ( prospection à loudima)"/>
    <s v="Transport"/>
    <s v="Investigation"/>
    <x v="24"/>
    <x v="678"/>
    <n v="533.50300000000004"/>
    <s v="T73"/>
    <s v="T73-S-D1"/>
    <s v="PALF"/>
    <x v="3"/>
    <s v="Congo"/>
    <x v="0"/>
    <x v="0"/>
    <m/>
  </r>
  <r>
    <x v="216"/>
    <s v="Taxi moto : centre ville- parking ( retour sur dolisie)"/>
    <s v="Transport"/>
    <s v="Investigation"/>
    <x v="24"/>
    <x v="678"/>
    <n v="533.50300000000004"/>
    <s v="T73"/>
    <s v="T73-S-D1"/>
    <s v="PALF"/>
    <x v="3"/>
    <s v="Congo"/>
    <x v="0"/>
    <x v="0"/>
    <m/>
  </r>
  <r>
    <x v="216"/>
    <s v="Achat billet: loudima - dolisie/T73"/>
    <s v="Transport"/>
    <s v="Investigation"/>
    <x v="67"/>
    <x v="701"/>
    <n v="533.50300000000004"/>
    <s v="T73"/>
    <s v="T73-S-R5"/>
    <s v="PALF"/>
    <x v="3"/>
    <s v="Congo"/>
    <x v="0"/>
    <x v="0"/>
    <m/>
  </r>
  <r>
    <x v="216"/>
    <s v="achat boisson/une cible"/>
    <s v="Trust Building"/>
    <s v="Investigation"/>
    <x v="120"/>
    <x v="702"/>
    <n v="533.50300000000004"/>
    <s v="T73"/>
    <s v="T73-S-D3"/>
    <s v="PALF"/>
    <x v="3"/>
    <s v="Congo"/>
    <x v="0"/>
    <x v="0"/>
    <m/>
  </r>
  <r>
    <x v="216"/>
    <s v="Taxi : gare routière - hotel pharaon( retour sur dolisie)"/>
    <s v="Transport"/>
    <s v="Investigation"/>
    <x v="24"/>
    <x v="678"/>
    <n v="533.50300000000004"/>
    <s v="T73"/>
    <s v="T73-S-D1"/>
    <s v="PALF"/>
    <x v="3"/>
    <s v="Congo"/>
    <x v="0"/>
    <x v="0"/>
    <m/>
  </r>
  <r>
    <x v="216"/>
    <s v="Taxi tricycle : Hôtel - Centre/ Prospection"/>
    <s v="Transport"/>
    <s v="Investigation"/>
    <x v="295"/>
    <x v="698"/>
    <n v="533.50300000000004"/>
    <s v="IT87"/>
    <s v="IT87-S-D1"/>
    <s v="PALF"/>
    <x v="3"/>
    <s v="Congo"/>
    <x v="0"/>
    <x v="0"/>
    <m/>
  </r>
  <r>
    <x v="216"/>
    <s v="Achat boisson avec une cible"/>
    <s v="Trust Building"/>
    <s v="Investigation"/>
    <x v="120"/>
    <x v="702"/>
    <n v="533.50300000000004"/>
    <s v="IT87"/>
    <s v="IT87-S-D2"/>
    <s v="PALF"/>
    <x v="3"/>
    <s v="Congo"/>
    <x v="0"/>
    <x v="0"/>
    <m/>
  </r>
  <r>
    <x v="216"/>
    <s v="Taxi tricycle : Centre - Marché/ Prospection"/>
    <s v="Transport"/>
    <s v="Investigation"/>
    <x v="295"/>
    <x v="698"/>
    <n v="533.50300000000004"/>
    <s v="IT87"/>
    <s v="IT87-S-D1"/>
    <s v="PALF"/>
    <x v="3"/>
    <s v="Congo"/>
    <x v="0"/>
    <x v="0"/>
    <m/>
  </r>
  <r>
    <x v="216"/>
    <s v="Taxi tricycle : Marché - Gare routière/ Prospection"/>
    <s v="Transport"/>
    <s v="Investigation"/>
    <x v="295"/>
    <x v="698"/>
    <n v="533.50300000000004"/>
    <s v="IT87"/>
    <s v="IT87-S-D1"/>
    <s v="PALF"/>
    <x v="3"/>
    <s v="Congo"/>
    <x v="0"/>
    <x v="0"/>
    <m/>
  </r>
  <r>
    <x v="216"/>
    <s v="Achat boisson avec une cible"/>
    <s v="Trust Building"/>
    <s v="Investigation"/>
    <x v="70"/>
    <x v="697"/>
    <n v="533.50300000000004"/>
    <s v="IT87"/>
    <s v="IT87-S-D2"/>
    <s v="PALF"/>
    <x v="3"/>
    <s v="Congo"/>
    <x v="0"/>
    <x v="0"/>
    <m/>
  </r>
  <r>
    <x v="216"/>
    <s v="Taxi tricycle : Gare routière - Hôtel/ Retour de prospection"/>
    <s v="Transport"/>
    <s v="Investigation"/>
    <x v="295"/>
    <x v="698"/>
    <n v="533.50300000000004"/>
    <s v="IT87"/>
    <s v="IT87-S-D1"/>
    <s v="PALF"/>
    <x v="3"/>
    <s v="Congo"/>
    <x v="0"/>
    <x v="0"/>
    <m/>
  </r>
  <r>
    <x v="216"/>
    <s v="RODERLIN-CONGO Frais d'hôtel du 05 au 06/09/2025 à Enyele (01 nuitée)"/>
    <s v="Travel Subsistence"/>
    <s v="Legal"/>
    <x v="64"/>
    <x v="703"/>
    <n v="533.50300000000004"/>
    <s v="Roderlin"/>
    <s v="RO-S-R4"/>
    <s v="PALF"/>
    <x v="3"/>
    <s v="Congo"/>
    <x v="0"/>
    <x v="0"/>
    <m/>
  </r>
  <r>
    <x v="216"/>
    <s v="Taxi:Hôtel Paulina-Agence Océan du nord de Enyele "/>
    <s v="Transport"/>
    <s v="Legal"/>
    <x v="294"/>
    <x v="682"/>
    <n v="533.50300000000004"/>
    <s v="Roderlin"/>
    <s v="RO-S-D1"/>
    <s v="PALF"/>
    <x v="3"/>
    <s v="Congo"/>
    <x v="0"/>
    <x v="0"/>
    <m/>
  </r>
  <r>
    <x v="216"/>
    <s v="Taxi-moto:Agence Océan du nord de Gamboma-Hôtel Baobab"/>
    <s v="Transport"/>
    <s v="Legal"/>
    <x v="294"/>
    <x v="682"/>
    <n v="533.50300000000004"/>
    <s v="Roderlin"/>
    <s v="RO-S-D1"/>
    <s v="PALF"/>
    <x v="3"/>
    <s v="Congo"/>
    <x v="0"/>
    <x v="0"/>
    <m/>
  </r>
  <r>
    <x v="216"/>
    <s v="Taxi moto Hôtel Mithé-Region de gendarmerie/ Rencontrer le CEMREG"/>
    <s v="Transport "/>
    <s v="Legal"/>
    <x v="294"/>
    <x v="682"/>
    <n v="533.50300000000004"/>
    <s v="Donald-Romeo"/>
    <s v="DR-S-D1"/>
    <s v="PALF"/>
    <x v="3"/>
    <s v="Congo"/>
    <x v="0"/>
    <x v="0"/>
    <m/>
  </r>
  <r>
    <x v="216"/>
    <s v="Taxi moto Gendarmerie- Hôtel Mithé"/>
    <s v="Transport "/>
    <s v="Legal"/>
    <x v="294"/>
    <x v="682"/>
    <n v="533.50300000000004"/>
    <s v="Donald-Romeo"/>
    <s v="DR-S-D1"/>
    <s v="PALF"/>
    <x v="3"/>
    <s v="Congo"/>
    <x v="0"/>
    <x v="0"/>
    <m/>
  </r>
  <r>
    <x v="216"/>
    <s v="Taxi moto Hôtel Mithé- Agence Océan du Nord/ Pour le repport des billets"/>
    <s v="Transport "/>
    <s v="Legal"/>
    <x v="294"/>
    <x v="682"/>
    <n v="533.50300000000004"/>
    <s v="Donald-Romeo"/>
    <s v="DR-S-D1"/>
    <s v="PALF"/>
    <x v="3"/>
    <s v="Congo"/>
    <x v="0"/>
    <x v="0"/>
    <m/>
  </r>
  <r>
    <x v="216"/>
    <s v="Taxi moto Agence Océan du Nord-Hôtel Mithé"/>
    <s v="Transport "/>
    <s v="Legal"/>
    <x v="294"/>
    <x v="682"/>
    <n v="533.50300000000004"/>
    <s v="Donald-Romeo"/>
    <s v="DR-S-D1"/>
    <s v="PALF"/>
    <x v="3"/>
    <s v="Congo"/>
    <x v="0"/>
    <x v="0"/>
    <m/>
  </r>
  <r>
    <x v="217"/>
    <s v="Règlement Loyer Août/Coordinateur"/>
    <s v="Personnel"/>
    <s v="Management"/>
    <x v="85"/>
    <x v="704"/>
    <n v="533.50300000000004"/>
    <s v="DOVI"/>
    <s v="DH-S-R2"/>
    <s v="PALF"/>
    <x v="3"/>
    <s v="Congo"/>
    <x v="0"/>
    <x v="0"/>
    <m/>
  </r>
  <r>
    <x v="217"/>
    <s v="Maison-Bureau"/>
    <s v="Transport"/>
    <s v="Management"/>
    <x v="24"/>
    <x v="678"/>
    <n v="533.50300000000004"/>
    <s v="DOVI"/>
    <s v="DH-S-D1"/>
    <s v="PALF"/>
    <x v="3"/>
    <s v="Congo"/>
    <x v="0"/>
    <x v="0"/>
    <m/>
  </r>
  <r>
    <x v="217"/>
    <s v="Bureau-Maison"/>
    <s v="Transport"/>
    <s v="Management"/>
    <x v="24"/>
    <x v="678"/>
    <n v="533.50300000000004"/>
    <s v="DOVI"/>
    <s v="DH-S-D1"/>
    <s v="PALF"/>
    <x v="3"/>
    <s v="Congo"/>
    <x v="0"/>
    <x v="0"/>
    <m/>
  </r>
  <r>
    <x v="217"/>
    <s v="Taxi moto: Hôtel-Gendarmerie"/>
    <s v="Transport"/>
    <s v="Legal"/>
    <x v="294"/>
    <x v="682"/>
    <n v="533.50300000000004"/>
    <s v="Crepin"/>
    <s v="CR-S-D1"/>
    <s v="PALF"/>
    <x v="3"/>
    <s v="Congo"/>
    <x v="0"/>
    <x v="0"/>
    <m/>
  </r>
  <r>
    <x v="217"/>
    <s v="Taxi moto: Gendarmerie-Hôtel"/>
    <s v="Transport"/>
    <s v="Legal"/>
    <x v="294"/>
    <x v="682"/>
    <n v="533.50300000000004"/>
    <s v="Crepin"/>
    <s v="CR-S-D1"/>
    <s v="PALF"/>
    <x v="3"/>
    <s v="Congo"/>
    <x v="0"/>
    <x v="0"/>
    <m/>
  </r>
  <r>
    <x v="217"/>
    <s v="Achat Carburant de la BJ aller-retour Impfondo-Dangou"/>
    <s v="Transport"/>
    <s v="Legal"/>
    <x v="30"/>
    <x v="705"/>
    <n v="533.50300000000004"/>
    <s v="Crepin"/>
    <s v="CR-S-R2"/>
    <s v="PALF"/>
    <x v="3"/>
    <s v="Congo"/>
    <x v="0"/>
    <x v="0"/>
    <m/>
  </r>
  <r>
    <x v="217"/>
    <s v="Raiffraichissement pour la mission de Dangou "/>
    <s v="Travel Subsistence"/>
    <s v="Legal"/>
    <x v="334"/>
    <x v="706"/>
    <n v="533.50300000000004"/>
    <s v="Crepin"/>
    <s v="CR-S-R3"/>
    <s v="PALF"/>
    <x v="3"/>
    <s v="Congo"/>
    <x v="0"/>
    <x v="0"/>
    <m/>
  </r>
  <r>
    <x v="217"/>
    <s v="Taxi hotel-magadzi,prospection"/>
    <s v="Transport"/>
    <s v="Investigation"/>
    <x v="24"/>
    <x v="678"/>
    <n v="533.50300000000004"/>
    <s v="P29"/>
    <s v="P29-S-D1"/>
    <s v="PALF"/>
    <x v="3"/>
    <s v="Congo"/>
    <x v="0"/>
    <x v="0"/>
    <m/>
  </r>
  <r>
    <x v="217"/>
    <s v="Taxi magadzi-aeroport,prospection"/>
    <s v="Transport"/>
    <s v="Investigation"/>
    <x v="24"/>
    <x v="678"/>
    <n v="533.50300000000004"/>
    <s v="P29"/>
    <s v="P29-S-D1"/>
    <s v="PALF"/>
    <x v="3"/>
    <s v="Congo"/>
    <x v="0"/>
    <x v="0"/>
    <m/>
  </r>
  <r>
    <x v="217"/>
    <s v="Taxi aeroport-tahiti,prospection"/>
    <s v="Transport"/>
    <s v="Investigation"/>
    <x v="24"/>
    <x v="678"/>
    <n v="533.50300000000004"/>
    <s v="P29"/>
    <s v="P29-S-D1"/>
    <s v="PALF"/>
    <x v="3"/>
    <s v="Congo"/>
    <x v="0"/>
    <x v="0"/>
    <m/>
  </r>
  <r>
    <x v="217"/>
    <s v="Taxi tahiti-tsila,prospection"/>
    <s v="Transport"/>
    <s v="Investigation"/>
    <x v="24"/>
    <x v="678"/>
    <n v="533.50300000000004"/>
    <s v="P29"/>
    <s v="P29-S-D1"/>
    <s v="PALF"/>
    <x v="3"/>
    <s v="Congo"/>
    <x v="0"/>
    <x v="0"/>
    <m/>
  </r>
  <r>
    <x v="217"/>
    <s v="Taxi tsila-maboulou,prospection"/>
    <s v="Transport"/>
    <s v="Investigation"/>
    <x v="24"/>
    <x v="678"/>
    <n v="533.50300000000004"/>
    <s v="P29"/>
    <s v="P29-S-D1"/>
    <s v="PALF"/>
    <x v="3"/>
    <s v="Congo"/>
    <x v="0"/>
    <x v="0"/>
    <m/>
  </r>
  <r>
    <x v="217"/>
    <s v="Taxi maboulou-hotel"/>
    <s v="Transport"/>
    <s v="Investigation"/>
    <x v="24"/>
    <x v="678"/>
    <n v="533.50300000000004"/>
    <s v="P29"/>
    <s v="P29-S-D1"/>
    <s v="PALF"/>
    <x v="3"/>
    <s v="Congo"/>
    <x v="0"/>
    <x v="0"/>
    <m/>
  </r>
  <r>
    <x v="217"/>
    <s v="Achat boison avec un cible"/>
    <s v="Trust Building"/>
    <s v="Investigation"/>
    <x v="70"/>
    <x v="697"/>
    <n v="533.50300000000004"/>
    <s v="P29"/>
    <s v="P29-S-D3"/>
    <s v="PALF"/>
    <x v="3"/>
    <s v="Congo"/>
    <x v="0"/>
    <x v="0"/>
    <m/>
  </r>
  <r>
    <x v="217"/>
    <s v="Taxi : hotel pharaon - centre ville ( prospection à dolisie)"/>
    <s v="Transport"/>
    <s v="Investigation"/>
    <x v="24"/>
    <x v="678"/>
    <n v="533.50300000000004"/>
    <s v="T73"/>
    <s v="T73-S-D1"/>
    <s v="PALF"/>
    <x v="3"/>
    <s v="Congo"/>
    <x v="0"/>
    <x v="0"/>
    <m/>
  </r>
  <r>
    <x v="217"/>
    <s v="Taxi : centre ville - tsila (prospection à dolisie)"/>
    <s v="Transport"/>
    <s v="Investigation"/>
    <x v="24"/>
    <x v="678"/>
    <n v="533.50300000000004"/>
    <s v="T73"/>
    <s v="T73-S-D1"/>
    <s v="PALF"/>
    <x v="3"/>
    <s v="Congo"/>
    <x v="0"/>
    <x v="0"/>
    <m/>
  </r>
  <r>
    <x v="217"/>
    <s v="Taxi : tsila - lisanga (prospection à dolisie)"/>
    <s v="Transport"/>
    <s v="Investigation"/>
    <x v="24"/>
    <x v="678"/>
    <n v="533.50300000000004"/>
    <s v="T73"/>
    <s v="T73-S-D1"/>
    <s v="PALF"/>
    <x v="3"/>
    <s v="Congo"/>
    <x v="0"/>
    <x v="0"/>
    <m/>
  </r>
  <r>
    <x v="217"/>
    <s v="Taxi : lisanga - hotel (prospection à dolisie)"/>
    <s v="Transport"/>
    <s v="Investigation"/>
    <x v="24"/>
    <x v="678"/>
    <n v="533.50300000000004"/>
    <s v="T73"/>
    <s v="T73-S-D1"/>
    <s v="PALF"/>
    <x v="3"/>
    <s v="Congo"/>
    <x v="0"/>
    <x v="0"/>
    <m/>
  </r>
  <r>
    <x v="217"/>
    <s v="achat boisson/une cible"/>
    <s v="Trust Building"/>
    <s v="Investigation"/>
    <x v="24"/>
    <x v="678"/>
    <n v="533.50300000000004"/>
    <s v="T73"/>
    <s v="T73-S-D3"/>
    <s v="PALF"/>
    <x v="3"/>
    <s v="Congo"/>
    <x v="0"/>
    <x v="0"/>
    <m/>
  </r>
  <r>
    <x v="217"/>
    <s v="Taxi tricycle : Hôtel - Rond point/ Départ de Mouyondzi pour Yamba"/>
    <s v="Transport"/>
    <s v="Investigation"/>
    <x v="295"/>
    <x v="698"/>
    <n v="533.50300000000004"/>
    <s v="IT87"/>
    <s v="IT87-S-D1"/>
    <s v="PALF"/>
    <x v="3"/>
    <s v="Congo"/>
    <x v="0"/>
    <x v="0"/>
    <m/>
  </r>
  <r>
    <x v="217"/>
    <s v="Achat billet Mouyondzi - Yamba/ IT87"/>
    <s v="Transport"/>
    <s v="Investigation"/>
    <x v="31"/>
    <x v="707"/>
    <n v="533.50300000000004"/>
    <s v="IT87"/>
    <s v="IT87-S-R3"/>
    <s v="PALF"/>
    <x v="3"/>
    <s v="Congo"/>
    <x v="0"/>
    <x v="0"/>
    <m/>
  </r>
  <r>
    <x v="217"/>
    <s v="Taxi moto : Ntembele - Centre/ Prospection"/>
    <s v="Transport"/>
    <s v="Investigation"/>
    <x v="294"/>
    <x v="682"/>
    <n v="533.50300000000004"/>
    <s v="IT87"/>
    <s v="IT87-S-D1"/>
    <s v="PALF"/>
    <x v="3"/>
    <s v="Congo"/>
    <x v="0"/>
    <x v="0"/>
    <m/>
  </r>
  <r>
    <x v="217"/>
    <s v="Taxi moto : Centre - Hôpital de district/ Prospection"/>
    <s v="Transport"/>
    <s v="Investigation"/>
    <x v="294"/>
    <x v="682"/>
    <n v="533.50300000000004"/>
    <s v="IT87"/>
    <s v="IT87-S-D1"/>
    <s v="PALF"/>
    <x v="3"/>
    <s v="Congo"/>
    <x v="0"/>
    <x v="0"/>
    <m/>
  </r>
  <r>
    <x v="217"/>
    <s v="Taxi moto : Hôpital de district - Mboubou/ Prospection"/>
    <s v="Transport"/>
    <s v="Investigation"/>
    <x v="294"/>
    <x v="682"/>
    <n v="533.50300000000004"/>
    <s v="IT87"/>
    <s v="IT87-S-D1"/>
    <s v="PALF"/>
    <x v="3"/>
    <s v="Congo"/>
    <x v="0"/>
    <x v="0"/>
    <m/>
  </r>
  <r>
    <x v="217"/>
    <s v="Taxi moto : Mboubou - Centre/ Prospection"/>
    <s v="Transport"/>
    <s v="Investigation"/>
    <x v="294"/>
    <x v="682"/>
    <n v="533.50300000000004"/>
    <s v="IT87"/>
    <s v="IT87-S-D1"/>
    <s v="PALF"/>
    <x v="3"/>
    <s v="Congo"/>
    <x v="0"/>
    <x v="0"/>
    <m/>
  </r>
  <r>
    <x v="217"/>
    <s v="Taxi moto : Yamba - Mouyondzi/ Arrivé à Mouyondzi"/>
    <s v="Transport"/>
    <s v="Investigation"/>
    <x v="31"/>
    <x v="707"/>
    <n v="533.50300000000004"/>
    <s v="IT87"/>
    <s v="IT87-S-R4"/>
    <s v="PALF"/>
    <x v="3"/>
    <s v="Congo"/>
    <x v="0"/>
    <x v="0"/>
    <m/>
  </r>
  <r>
    <x v="217"/>
    <s v="Taxi tricycle : Rond point - Hôtel/ Retour de prospection"/>
    <s v="Transport"/>
    <s v="Investigation"/>
    <x v="295"/>
    <x v="698"/>
    <n v="533.50300000000004"/>
    <s v="IT87"/>
    <s v="IT87-S-D1"/>
    <s v="PALF"/>
    <x v="3"/>
    <s v="Congo"/>
    <x v="0"/>
    <x v="0"/>
    <m/>
  </r>
  <r>
    <x v="217"/>
    <s v="RODERLIN-CONGO Frais d'hôtel du 06 au 07/09/2025 à Gamboma (01 nuitée)"/>
    <s v="Travel Subsistence"/>
    <s v="Legal"/>
    <x v="64"/>
    <x v="703"/>
    <n v="533.50300000000004"/>
    <s v="Roderlin"/>
    <s v="RO-S-R5"/>
    <s v="PALF"/>
    <x v="3"/>
    <s v="Congo"/>
    <x v="0"/>
    <x v="0"/>
    <m/>
  </r>
  <r>
    <x v="217"/>
    <s v="Taxi-moto:Hôtel Baobab-Agence Océan du nord "/>
    <s v="Transport"/>
    <s v="Legal"/>
    <x v="294"/>
    <x v="682"/>
    <n v="533.50300000000004"/>
    <s v="Roderlin"/>
    <s v="RO-S-D1"/>
    <s v="PALF"/>
    <x v="3"/>
    <s v="Congo"/>
    <x v="0"/>
    <x v="0"/>
    <m/>
  </r>
  <r>
    <x v="217"/>
    <s v="Taxi:Agence Océan du nord de la liberté-Domicile "/>
    <s v="Transport"/>
    <s v="Legal"/>
    <x v="24"/>
    <x v="678"/>
    <n v="533.50300000000004"/>
    <s v="Roderlin"/>
    <s v="RO-S-D1"/>
    <s v="PALF"/>
    <x v="3"/>
    <s v="Congo"/>
    <x v="0"/>
    <x v="0"/>
    <m/>
  </r>
  <r>
    <x v="217"/>
    <s v="Taxi moto Hôtel Mithé-Region de gendarmerie/ Rencontrer le CEMREG"/>
    <s v="Transport "/>
    <s v="Legal"/>
    <x v="294"/>
    <x v="682"/>
    <n v="533.50300000000004"/>
    <s v="Donald-Romeo"/>
    <s v="DR-S-D1"/>
    <s v="PALF"/>
    <x v="3"/>
    <s v="Congo"/>
    <x v="0"/>
    <x v="0"/>
    <m/>
  </r>
  <r>
    <x v="217"/>
    <s v="Taxi moto Bankandi- Hôtel Mithé/ Après l'achat du carburant"/>
    <s v="Transport "/>
    <s v="Legal"/>
    <x v="294"/>
    <x v="682"/>
    <n v="533.50300000000004"/>
    <s v="Donald-Romeo"/>
    <s v="DR-S-D1"/>
    <s v="PALF"/>
    <x v="3"/>
    <s v="Congo"/>
    <x v="0"/>
    <x v="0"/>
    <m/>
  </r>
  <r>
    <x v="217"/>
    <s v="Taxi moto Hôtel Mithé-Bankandi/ Boutique/ Achat rafraîchissement"/>
    <s v="Transport "/>
    <s v="Legal"/>
    <x v="294"/>
    <x v="682"/>
    <n v="533.50300000000004"/>
    <s v="Donald-Romeo"/>
    <s v="DR-S-D1"/>
    <s v="PALF"/>
    <x v="3"/>
    <s v="Congo"/>
    <x v="0"/>
    <x v="0"/>
    <m/>
  </r>
  <r>
    <x v="217"/>
    <s v="Taxi moto Bankandi- Hôtel Mithé"/>
    <s v="Transport "/>
    <s v="Legal"/>
    <x v="294"/>
    <x v="682"/>
    <n v="533.50300000000004"/>
    <s v="Donald-Romeo"/>
    <s v="DR-S-D1"/>
    <s v="PALF"/>
    <x v="3"/>
    <s v="Congo"/>
    <x v="0"/>
    <x v="0"/>
    <m/>
  </r>
  <r>
    <x v="218"/>
    <s v="Maison-Bureau"/>
    <s v="Transport"/>
    <s v="Management"/>
    <x v="24"/>
    <x v="678"/>
    <n v="533.50300000000004"/>
    <s v="DOVI"/>
    <s v="DH-S-D1"/>
    <s v="PALF"/>
    <x v="3"/>
    <s v="Congo"/>
    <x v="0"/>
    <x v="0"/>
    <m/>
  </r>
  <r>
    <x v="218"/>
    <s v="Bureau-Maison"/>
    <s v="Transport"/>
    <s v="Management"/>
    <x v="24"/>
    <x v="678"/>
    <n v="533.50300000000004"/>
    <s v="DOVI"/>
    <s v="DH-S-D1"/>
    <s v="PALF"/>
    <x v="3"/>
    <s v="Congo"/>
    <x v="0"/>
    <x v="0"/>
    <m/>
  </r>
  <r>
    <x v="218"/>
    <s v="Credit telephonique MTN/PALF/ du 08 au 14 Septembre 2025/DOVI"/>
    <s v="Telephone"/>
    <s v="Management"/>
    <x v="48"/>
    <x v="679"/>
    <n v="533.50300000000004"/>
    <s v="DOVI"/>
    <s v="DH-S-R3"/>
    <s v="PALF"/>
    <x v="3"/>
    <s v="Congo"/>
    <x v="0"/>
    <x v="0"/>
    <m/>
  </r>
  <r>
    <x v="218"/>
    <s v="plats pour les éléments pendant la mission de Dangou"/>
    <s v="Travel Subsistence"/>
    <s v="Legal"/>
    <x v="335"/>
    <x v="708"/>
    <n v="533.50300000000004"/>
    <s v="Crepin"/>
    <s v="CR-S-R4"/>
    <s v="PALF"/>
    <x v="3"/>
    <s v="Congo"/>
    <x v="0"/>
    <x v="0"/>
    <m/>
  </r>
  <r>
    <x v="218"/>
    <s v="Credit telephonique MTN PALF/du 08 au 14 septembre 2025/ crepin"/>
    <s v="Telephone"/>
    <s v="Legal"/>
    <x v="4"/>
    <x v="681"/>
    <n v="533.50300000000004"/>
    <s v="Crepin"/>
    <s v="CR-S-R5"/>
    <s v="PALF"/>
    <x v="3"/>
    <s v="Congo"/>
    <x v="0"/>
    <x v="0"/>
    <m/>
  </r>
  <r>
    <x v="218"/>
    <s v="Taxi:  Bureau-Banque BCI/ Retrait espece"/>
    <s v="Transport"/>
    <s v="Office"/>
    <x v="24"/>
    <x v="678"/>
    <n v="533.50300000000004"/>
    <s v="Parfaite"/>
    <s v="P-S-D1"/>
    <s v="PALF"/>
    <x v="3"/>
    <s v="Congo"/>
    <x v="0"/>
    <x v="0"/>
    <m/>
  </r>
  <r>
    <x v="218"/>
    <s v="Taxi:  Banque BCI - Direction MTN /Complement Achat crédit bureau PALF"/>
    <s v="Transport"/>
    <s v="Office"/>
    <x v="294"/>
    <x v="682"/>
    <n v="533.50300000000004"/>
    <s v="Parfaite"/>
    <s v="P-S-D1"/>
    <s v="PALF"/>
    <x v="3"/>
    <s v="Congo"/>
    <x v="0"/>
    <x v="0"/>
    <m/>
  </r>
  <r>
    <x v="218"/>
    <s v="Taxi: Direction MTN-Bureau"/>
    <s v="Transport"/>
    <s v="Office"/>
    <x v="24"/>
    <x v="678"/>
    <n v="533.50300000000004"/>
    <s v="Parfaite"/>
    <s v="P-S-D1"/>
    <s v="PALF"/>
    <x v="3"/>
    <s v="Congo"/>
    <x v="0"/>
    <x v="0"/>
    <m/>
  </r>
  <r>
    <x v="218"/>
    <s v="Credit teléphonique MTN PALF/ du 08 au 14 septembre 2025/ Parfaite"/>
    <s v="Telephone"/>
    <s v="Management"/>
    <x v="55"/>
    <x v="709"/>
    <n v="533.50300000000004"/>
    <s v="Parfaite"/>
    <s v="P-S-R2"/>
    <s v="PALF"/>
    <x v="3"/>
    <s v="Congo"/>
    <x v="0"/>
    <x v="0"/>
    <m/>
  </r>
  <r>
    <x v="218"/>
    <s v="Achat billet Dolisie-Ditadi/P29"/>
    <s v="Transport"/>
    <s v="Investigation"/>
    <x v="67"/>
    <x v="701"/>
    <n v="533.50300000000004"/>
    <s v="P29"/>
    <s v="P29-S-R4"/>
    <s v="PALF"/>
    <x v="3"/>
    <s v="Congo"/>
    <x v="0"/>
    <x v="0"/>
    <m/>
  </r>
  <r>
    <x v="218"/>
    <s v="Taxi hotel-gare routière,départ pour ditadi"/>
    <s v="Transport"/>
    <s v="Investigation"/>
    <x v="120"/>
    <x v="702"/>
    <n v="533.50300000000004"/>
    <s v="P29"/>
    <s v="P29-S-D1"/>
    <s v="PALF"/>
    <x v="3"/>
    <s v="Congo"/>
    <x v="0"/>
    <x v="0"/>
    <m/>
  </r>
  <r>
    <x v="218"/>
    <s v="Taxi gare routière-matolo"/>
    <s v="Transport"/>
    <s v="Investigation"/>
    <x v="24"/>
    <x v="678"/>
    <n v="533.50300000000004"/>
    <s v="P29"/>
    <s v="P29-S-D1"/>
    <s v="PALF"/>
    <x v="3"/>
    <s v="Congo"/>
    <x v="0"/>
    <x v="0"/>
    <m/>
  </r>
  <r>
    <x v="218"/>
    <s v="Taxi matolo-marché,prospection"/>
    <s v="Transport"/>
    <s v="Investigation"/>
    <x v="24"/>
    <x v="678"/>
    <n v="533.50300000000004"/>
    <s v="P29"/>
    <s v="P29-S-D1"/>
    <s v="PALF"/>
    <x v="3"/>
    <s v="Congo"/>
    <x v="0"/>
    <x v="0"/>
    <m/>
  </r>
  <r>
    <x v="218"/>
    <s v="Taxi marché-seko,prospection"/>
    <s v="Transport"/>
    <s v="Investigation"/>
    <x v="24"/>
    <x v="678"/>
    <n v="533.50300000000004"/>
    <s v="P29"/>
    <s v="P29-S-D1"/>
    <s v="PALF"/>
    <x v="3"/>
    <s v="Congo"/>
    <x v="0"/>
    <x v="0"/>
    <m/>
  </r>
  <r>
    <x v="218"/>
    <s v="Taxi seko-tiabala,prospection"/>
    <s v="Transport"/>
    <s v="Investigation"/>
    <x v="24"/>
    <x v="678"/>
    <n v="533.50300000000004"/>
    <s v="P29"/>
    <s v="P29-S-D1"/>
    <s v="PALF"/>
    <x v="3"/>
    <s v="Congo"/>
    <x v="0"/>
    <x v="0"/>
    <m/>
  </r>
  <r>
    <x v="218"/>
    <s v="Taxi tiabala-gare routière"/>
    <s v="Transport"/>
    <s v="Investigation"/>
    <x v="24"/>
    <x v="678"/>
    <n v="533.50300000000004"/>
    <s v="P29"/>
    <s v="P29-S-D1"/>
    <s v="PALF"/>
    <x v="3"/>
    <s v="Congo"/>
    <x v="0"/>
    <x v="0"/>
    <m/>
  </r>
  <r>
    <x v="218"/>
    <s v="Credit telephonique MTN PALF/ du 08 au 14 Septembre 2025/ Investigation/P29"/>
    <s v="Telephone"/>
    <s v="Investigation"/>
    <x v="4"/>
    <x v="681"/>
    <n v="533.50300000000004"/>
    <s v="P29"/>
    <s v="P29-S-R5"/>
    <s v="PALF"/>
    <x v="3"/>
    <s v="Congo"/>
    <x v="0"/>
    <x v="0"/>
    <m/>
  </r>
  <r>
    <x v="218"/>
    <s v="Achat billet, Didati-dolisie"/>
    <s v="Transport"/>
    <s v="Investigation"/>
    <x v="67"/>
    <x v="701"/>
    <n v="533.50300000000004"/>
    <s v="P29"/>
    <s v="P29-S-R6"/>
    <s v="PALF"/>
    <x v="3"/>
    <s v="Congo"/>
    <x v="0"/>
    <x v="0"/>
    <m/>
  </r>
  <r>
    <x v="218"/>
    <s v="Taxi gare routière-hotel,retour à dolisie"/>
    <s v="Transport"/>
    <s v="Investigation"/>
    <x v="120"/>
    <x v="702"/>
    <n v="533.50300000000004"/>
    <s v="P29"/>
    <s v="P29-S-D1"/>
    <s v="PALF"/>
    <x v="3"/>
    <s v="Congo"/>
    <x v="0"/>
    <x v="0"/>
    <m/>
  </r>
  <r>
    <x v="218"/>
    <s v="Achat boison avec un cible"/>
    <s v="Trust Building"/>
    <s v="Investigation"/>
    <x v="70"/>
    <x v="697"/>
    <n v="533.50300000000004"/>
    <s v="P29"/>
    <s v="P29-S-D3"/>
    <s v="PALF"/>
    <x v="3"/>
    <s v="Congo"/>
    <x v="0"/>
    <x v="0"/>
    <m/>
  </r>
  <r>
    <x v="218"/>
    <s v="Taxi : hotel - marché mboukou (prospection à dolisie)"/>
    <s v="Transport"/>
    <s v="Investigation"/>
    <x v="24"/>
    <x v="678"/>
    <n v="533.50300000000004"/>
    <s v="T73"/>
    <s v="T73-S-D1"/>
    <s v="PALF"/>
    <x v="3"/>
    <s v="Congo"/>
    <x v="0"/>
    <x v="0"/>
    <m/>
  </r>
  <r>
    <x v="218"/>
    <s v="Taxi : marché mboukou - bas fleury (prospection à dolisie)"/>
    <s v="Transport"/>
    <s v="Investigation"/>
    <x v="24"/>
    <x v="678"/>
    <n v="533.50300000000004"/>
    <s v="T73"/>
    <s v="T73-S-D1"/>
    <s v="PALF"/>
    <x v="3"/>
    <s v="Congo"/>
    <x v="0"/>
    <x v="0"/>
    <m/>
  </r>
  <r>
    <x v="218"/>
    <s v="Taxi : bas fleury - RN1(rendez-vous avec la cible)"/>
    <s v="Transport"/>
    <s v="Investigation"/>
    <x v="24"/>
    <x v="678"/>
    <n v="533.50300000000004"/>
    <s v="T73"/>
    <s v="T73-S-D1"/>
    <s v="PALF"/>
    <x v="3"/>
    <s v="Congo"/>
    <x v="0"/>
    <x v="0"/>
    <m/>
  </r>
  <r>
    <x v="218"/>
    <s v="Taxi : RN1 - gare routière (extraction)"/>
    <s v="Transport"/>
    <s v="Investigation"/>
    <x v="24"/>
    <x v="678"/>
    <n v="533.50300000000004"/>
    <s v="T73"/>
    <s v="T73-S-D1"/>
    <s v="PALF"/>
    <x v="3"/>
    <s v="Congo"/>
    <x v="0"/>
    <x v="0"/>
    <m/>
  </r>
  <r>
    <x v="218"/>
    <s v="Taxi : gare routière - centre ville (extraction)"/>
    <s v="Transport"/>
    <s v="Investigation"/>
    <x v="24"/>
    <x v="678"/>
    <n v="533.50300000000004"/>
    <s v="T73"/>
    <s v="T73-S-D1"/>
    <s v="PALF"/>
    <x v="3"/>
    <s v="Congo"/>
    <x v="0"/>
    <x v="0"/>
    <m/>
  </r>
  <r>
    <x v="218"/>
    <s v="Taxi : centre ville- hotel (extraction)"/>
    <s v="Transport"/>
    <s v="Investigation"/>
    <x v="24"/>
    <x v="678"/>
    <n v="533.50300000000004"/>
    <s v="T73"/>
    <s v="T73-S-D1"/>
    <s v="PALF"/>
    <x v="3"/>
    <s v="Congo"/>
    <x v="0"/>
    <x v="0"/>
    <m/>
  </r>
  <r>
    <x v="218"/>
    <s v="Credit telephonique MTN PALF/ du 08 au 14 septembre 2025/ Investigation/T73"/>
    <s v="Telephone"/>
    <s v="Investigation"/>
    <x v="4"/>
    <x v="681"/>
    <n v="533.50300000000004"/>
    <s v="T73"/>
    <s v="T73-S-R6"/>
    <s v="PALF"/>
    <x v="3"/>
    <s v="Congo"/>
    <x v="0"/>
    <x v="0"/>
    <m/>
  </r>
  <r>
    <x v="218"/>
    <s v="achat boissons et nourriture/2 cibles"/>
    <s v="Trust Building"/>
    <s v="Investigation"/>
    <x v="45"/>
    <x v="710"/>
    <n v="533.50300000000004"/>
    <s v="T73"/>
    <s v="T73-S-D3"/>
    <s v="PALF"/>
    <x v="3"/>
    <s v="Congo"/>
    <x v="0"/>
    <x v="0"/>
    <m/>
  </r>
  <r>
    <x v="218"/>
    <s v="IT87-CONGO Frais d'hôtel  du 04 au 08/09/2025 à Mouyondzi (04 nuitées)"/>
    <s v="Travel Subsistence"/>
    <s v="Investigation"/>
    <x v="23"/>
    <x v="693"/>
    <n v="533.50300000000004"/>
    <s v="IT87"/>
    <s v="IT87-S-R5"/>
    <s v="PALF"/>
    <x v="3"/>
    <s v="Congo"/>
    <x v="0"/>
    <x v="0"/>
    <m/>
  </r>
  <r>
    <x v="218"/>
    <s v="Taxi tricycle : Hôtel - Gare routière/ Départ pour Bouansa"/>
    <s v="Transport"/>
    <s v="Investigation"/>
    <x v="295"/>
    <x v="698"/>
    <n v="533.50300000000004"/>
    <s v="IT87"/>
    <s v="IT87-S-D1"/>
    <s v="PALF"/>
    <x v="3"/>
    <s v="Congo"/>
    <x v="0"/>
    <x v="0"/>
    <m/>
  </r>
  <r>
    <x v="218"/>
    <s v="Achat billet Mouyondzi - Bouansa/ IT87"/>
    <s v="Transport"/>
    <s v="Investigation"/>
    <x v="67"/>
    <x v="701"/>
    <n v="533.50300000000004"/>
    <s v="IT87"/>
    <s v="IT87-S-R6"/>
    <s v="PALF"/>
    <x v="3"/>
    <s v="Congo"/>
    <x v="0"/>
    <x v="0"/>
    <m/>
  </r>
  <r>
    <x v="218"/>
    <s v="Taxi moto : Gare routière - Hôtel le Repère/ Arrivé à Bouansa"/>
    <s v="Transport"/>
    <s v="Investigation"/>
    <x v="294"/>
    <x v="682"/>
    <n v="533.50300000000004"/>
    <s v="IT87"/>
    <s v="IT87-S-D1"/>
    <s v="PALF"/>
    <x v="3"/>
    <s v="Congo"/>
    <x v="0"/>
    <x v="0"/>
    <m/>
  </r>
  <r>
    <x v="218"/>
    <s v="Taxi moto : Hôtel - Badondo/ Prospection"/>
    <s v="Transport"/>
    <s v="Investigation"/>
    <x v="332"/>
    <x v="695"/>
    <n v="533.50300000000004"/>
    <s v="IT87"/>
    <s v="IT87-S-D1"/>
    <s v="PALF"/>
    <x v="3"/>
    <s v="Congo"/>
    <x v="0"/>
    <x v="0"/>
    <m/>
  </r>
  <r>
    <x v="218"/>
    <s v="Taxi moto : Badondo - La gare/ Prospection"/>
    <s v="Transport"/>
    <s v="Investigation"/>
    <x v="294"/>
    <x v="682"/>
    <n v="533.50300000000004"/>
    <s v="IT87"/>
    <s v="IT87-S-D1"/>
    <s v="PALF"/>
    <x v="3"/>
    <s v="Congo"/>
    <x v="0"/>
    <x v="0"/>
    <m/>
  </r>
  <r>
    <x v="218"/>
    <s v="Taxi moto : La gare - Hôtel/ Retour du terrain"/>
    <s v="Transport"/>
    <s v="Investigation"/>
    <x v="294"/>
    <x v="682"/>
    <n v="533.50300000000004"/>
    <s v="IT87"/>
    <s v="IT87-S-D1"/>
    <s v="PALF"/>
    <x v="3"/>
    <s v="Congo"/>
    <x v="0"/>
    <x v="0"/>
    <m/>
  </r>
  <r>
    <x v="218"/>
    <s v="Credit telephonique MTN PALF/du 08 au 14 septembre 2025/IT87"/>
    <s v="Telephone"/>
    <s v="Investigation"/>
    <x v="4"/>
    <x v="681"/>
    <n v="533.50300000000004"/>
    <s v="IT87"/>
    <s v="IT87-S-R7"/>
    <s v="PALF"/>
    <x v="3"/>
    <s v="Congo"/>
    <x v="0"/>
    <x v="0"/>
    <m/>
  </r>
  <r>
    <x v="218"/>
    <s v="Credit telephonique MTN PALF/du 08 au 14 septembre 2025/G12"/>
    <s v="Telephone"/>
    <s v="Investigation"/>
    <x v="4"/>
    <x v="681"/>
    <n v="533.50300000000004"/>
    <s v="G12"/>
    <s v="G12-S-R2"/>
    <s v="PALF"/>
    <x v="3"/>
    <s v="Congo"/>
    <x v="0"/>
    <x v="0"/>
    <m/>
  </r>
  <r>
    <x v="218"/>
    <s v="Taxi: Bureau-Station Total Energies Loutassi/Achat carburant"/>
    <s v="Transport"/>
    <s v="Legal"/>
    <x v="24"/>
    <x v="678"/>
    <n v="533.50300000000004"/>
    <s v="Abraham"/>
    <s v="AB-S-D1"/>
    <s v="PALF"/>
    <x v="3"/>
    <s v="Congo"/>
    <x v="0"/>
    <x v="0"/>
    <m/>
  </r>
  <r>
    <x v="218"/>
    <s v="Taxi: Station Total Energies Loutassi-Bureau"/>
    <s v="Transport"/>
    <s v="Legal"/>
    <x v="24"/>
    <x v="678"/>
    <n v="533.50300000000004"/>
    <s v="Abraham"/>
    <s v="AB-S-D1"/>
    <s v="PALF"/>
    <x v="3"/>
    <s v="Congo"/>
    <x v="0"/>
    <x v="0"/>
    <m/>
  </r>
  <r>
    <x v="218"/>
    <s v="Credit telephonique MTN PALF/ du 08 au 14 septembre 2025/Abraham"/>
    <s v="Telephone"/>
    <s v="Legal"/>
    <x v="55"/>
    <x v="709"/>
    <n v="533.50300000000004"/>
    <s v="Abraham"/>
    <s v="AB-S-R2"/>
    <s v="PALF"/>
    <x v="3"/>
    <s v="Congo"/>
    <x v="0"/>
    <x v="0"/>
    <m/>
  </r>
  <r>
    <x v="218"/>
    <s v="Achat carburant groupe electrogène Bureau "/>
    <s v="Office Materiels"/>
    <s v="Office"/>
    <x v="211"/>
    <x v="711"/>
    <n v="533.50300000000004"/>
    <s v="Abraham"/>
    <s v="CA-S-R8"/>
    <s v="PALF"/>
    <x v="3"/>
    <s v="Congo"/>
    <x v="0"/>
    <x v="0"/>
    <m/>
  </r>
  <r>
    <x v="218"/>
    <s v="Credit telephonique MTN PALF/du 08 au 14 Septembre 2025/Roderlin"/>
    <s v="Telephone"/>
    <s v="Legal"/>
    <x v="55"/>
    <x v="709"/>
    <n v="533.50300000000004"/>
    <s v="Roderlin"/>
    <s v="RO-S-R6"/>
    <s v="PALF"/>
    <x v="3"/>
    <s v="Congo"/>
    <x v="0"/>
    <x v="0"/>
    <m/>
  </r>
  <r>
    <x v="218"/>
    <s v="Taxi moto Gendarmerie- Hôtel Mithé/ Après Dongou"/>
    <s v="Transport "/>
    <s v="Legal"/>
    <x v="294"/>
    <x v="682"/>
    <n v="533.50300000000004"/>
    <s v="Donald-Romeo"/>
    <s v="DR-S-D1"/>
    <s v="PALF"/>
    <x v="3"/>
    <s v="Congo"/>
    <x v="0"/>
    <x v="0"/>
    <m/>
  </r>
  <r>
    <x v="218"/>
    <s v="Credit telephonique MTN PALF/du 08 au 14 septembre 2025"/>
    <s v="Telephone"/>
    <s v="Legal"/>
    <x v="4"/>
    <x v="681"/>
    <n v="533.50300000000004"/>
    <s v="Donald-Romeo"/>
    <s v="DR-S-R3"/>
    <s v="PALF"/>
    <x v="3"/>
    <s v="Congo"/>
    <x v="0"/>
    <x v="0"/>
    <m/>
  </r>
  <r>
    <x v="218"/>
    <s v="Credit telephonique MTN PALF/du 08 au 14 septembre 2025/ Evariste"/>
    <s v="Telephone"/>
    <s v="Media"/>
    <x v="31"/>
    <x v="707"/>
    <n v="533.50300000000004"/>
    <s v="Evariste"/>
    <s v="EV-S-R6"/>
    <s v="PALF"/>
    <x v="3"/>
    <s v="Congo"/>
    <x v="0"/>
    <x v="0"/>
    <m/>
  </r>
  <r>
    <x v="218"/>
    <s v="Credit telephonique MTN PALF/du 08 au 14 septembre 2025/ Evariste"/>
    <s v="Telephone"/>
    <s v="Media"/>
    <x v="31"/>
    <x v="707"/>
    <n v="533.50300000000004"/>
    <s v="Evariste"/>
    <s v="EV-S-R7"/>
    <s v="PALF"/>
    <x v="3"/>
    <s v="Congo"/>
    <x v="0"/>
    <x v="0"/>
    <m/>
  </r>
  <r>
    <x v="218"/>
    <s v="Taxi: Bureau-Charden Farell(Pour le transfert d'argent)"/>
    <s v="Transport"/>
    <s v="Legal"/>
    <x v="294"/>
    <x v="682"/>
    <n v="533.50300000000004"/>
    <s v="Romain"/>
    <s v="RM-S-D1"/>
    <s v="PALF"/>
    <x v="3"/>
    <s v="Congo"/>
    <x v="0"/>
    <x v="0"/>
    <m/>
  </r>
  <r>
    <x v="218"/>
    <s v="Taxi: Charden Farell-Bureau"/>
    <s v="Transport"/>
    <s v="Legal"/>
    <x v="294"/>
    <x v="682"/>
    <n v="533.50300000000004"/>
    <s v="Romain"/>
    <s v="RM-S-D1"/>
    <s v="PALF"/>
    <x v="3"/>
    <s v="Congo"/>
    <x v="0"/>
    <x v="0"/>
    <m/>
  </r>
  <r>
    <x v="218"/>
    <s v="Credit telephonique MTN PALF/du 08 au 14 Septembre 2025/Romain"/>
    <s v="Telephone"/>
    <s v="Legal"/>
    <x v="55"/>
    <x v="709"/>
    <n v="533.50300000000004"/>
    <s v="Romain"/>
    <s v="RM-S-R2"/>
    <s v="PALF"/>
    <x v="3"/>
    <s v="Congo"/>
    <x v="0"/>
    <x v="0"/>
    <m/>
  </r>
  <r>
    <x v="218"/>
    <s v="Frais de tansfert d'argent à Crepin"/>
    <s v="Transfert fees"/>
    <s v="Office"/>
    <x v="70"/>
    <x v="697"/>
    <n v="533.50300000000004"/>
    <s v="Romain"/>
    <s v="CA-S-R9"/>
    <s v="PALF"/>
    <x v="3"/>
    <s v="Congo"/>
    <x v="0"/>
    <x v="0"/>
    <m/>
  </r>
  <r>
    <x v="219"/>
    <s v="Maison-Bureau"/>
    <s v="Transport"/>
    <s v="Management"/>
    <x v="24"/>
    <x v="678"/>
    <n v="533.50300000000004"/>
    <s v="DOVI"/>
    <s v="DH-S-D1"/>
    <s v="PALF"/>
    <x v="3"/>
    <s v="Congo"/>
    <x v="0"/>
    <x v="0"/>
    <m/>
  </r>
  <r>
    <x v="219"/>
    <s v="Bureau-Ambassade de France"/>
    <s v="Transport"/>
    <s v="Management"/>
    <x v="24"/>
    <x v="678"/>
    <n v="533.50300000000004"/>
    <s v="DOVI"/>
    <s v="DH-S-D1"/>
    <s v="PALF"/>
    <x v="3"/>
    <s v="Congo"/>
    <x v="0"/>
    <x v="0"/>
    <m/>
  </r>
  <r>
    <x v="219"/>
    <s v="Ambassade de France - PNUD"/>
    <s v="Transport"/>
    <s v="Management"/>
    <x v="24"/>
    <x v="678"/>
    <n v="533.50300000000004"/>
    <s v="DOVI"/>
    <s v="DH-S-D1"/>
    <s v="PALF"/>
    <x v="3"/>
    <s v="Congo"/>
    <x v="0"/>
    <x v="0"/>
    <m/>
  </r>
  <r>
    <x v="219"/>
    <s v="PNUD -Bureau"/>
    <s v="Transport"/>
    <s v="Management"/>
    <x v="24"/>
    <x v="678"/>
    <n v="533.50300000000004"/>
    <s v="DOVI"/>
    <s v="DH-S-D1"/>
    <s v="PALF"/>
    <x v="3"/>
    <s v="Congo"/>
    <x v="0"/>
    <x v="0"/>
    <m/>
  </r>
  <r>
    <x v="219"/>
    <s v="Bureau-Maison"/>
    <s v="Transport"/>
    <s v="Management"/>
    <x v="24"/>
    <x v="678"/>
    <n v="533.50300000000004"/>
    <s v="DOVI"/>
    <s v="DH-S-D1"/>
    <s v="PALF"/>
    <x v="3"/>
    <s v="Congo"/>
    <x v="0"/>
    <x v="0"/>
    <m/>
  </r>
  <r>
    <x v="219"/>
    <s v="Taxi moto: Hôtel-Gendamerie"/>
    <s v="Transport"/>
    <s v="Legal"/>
    <x v="294"/>
    <x v="682"/>
    <n v="533.50300000000004"/>
    <s v="Crepin"/>
    <s v="CR-S-D1"/>
    <s v="PALF"/>
    <x v="3"/>
    <s v="Congo"/>
    <x v="0"/>
    <x v="0"/>
    <m/>
  </r>
  <r>
    <x v="219"/>
    <s v="Taxi moto: Gendarmerie-Hôtel"/>
    <s v="Transport"/>
    <s v="Legal"/>
    <x v="294"/>
    <x v="682"/>
    <n v="533.50300000000004"/>
    <s v="Crepin"/>
    <s v="CR-S-D1"/>
    <s v="PALF"/>
    <x v="3"/>
    <s v="Congo"/>
    <x v="0"/>
    <x v="0"/>
    <m/>
  </r>
  <r>
    <x v="219"/>
    <s v="Taxi:  Bureau-Banque BCI/ Recuperation le reçu  Appro caisse du 08/09/2025PALF"/>
    <s v="Transport"/>
    <s v="Office"/>
    <x v="24"/>
    <x v="678"/>
    <n v="533.50300000000004"/>
    <s v="Parfaite"/>
    <s v="P-S-D1"/>
    <s v="PALF"/>
    <x v="3"/>
    <s v="Congo"/>
    <x v="0"/>
    <x v="0"/>
    <m/>
  </r>
  <r>
    <x v="219"/>
    <s v="Taxi:  Banque BCI - Bureau"/>
    <s v="Transport"/>
    <s v="Office"/>
    <x v="24"/>
    <x v="678"/>
    <n v="533.50300000000004"/>
    <s v="Parfaite"/>
    <s v="P-S-D1"/>
    <s v="PALF"/>
    <x v="3"/>
    <s v="Congo"/>
    <x v="0"/>
    <x v="0"/>
    <m/>
  </r>
  <r>
    <x v="219"/>
    <s v="Achat billet dolisie-Mila mila"/>
    <s v="Transport"/>
    <s v="Investigation"/>
    <x v="31"/>
    <x v="707"/>
    <n v="533.50300000000004"/>
    <s v="P29"/>
    <s v="P29-S-R7"/>
    <s v="PALF"/>
    <x v="3"/>
    <s v="Congo"/>
    <x v="0"/>
    <x v="0"/>
    <m/>
  </r>
  <r>
    <x v="219"/>
    <s v="Achat billet Mila mila-dolisie"/>
    <s v="Transport"/>
    <s v="Investigation"/>
    <x v="31"/>
    <x v="707"/>
    <n v="533.50300000000004"/>
    <s v="P29"/>
    <s v="P29-S-R8"/>
    <s v="PALF"/>
    <x v="3"/>
    <s v="Congo"/>
    <x v="0"/>
    <x v="0"/>
    <m/>
  </r>
  <r>
    <x v="219"/>
    <s v="Taxi hotel-gare routière,départ pour mila mila"/>
    <s v="Transport"/>
    <s v="Investigation"/>
    <x v="120"/>
    <x v="702"/>
    <n v="533.50300000000004"/>
    <s v="P29"/>
    <s v="P29-S-D1"/>
    <s v="PALF"/>
    <x v="3"/>
    <s v="Congo"/>
    <x v="0"/>
    <x v="0"/>
    <m/>
  </r>
  <r>
    <x v="219"/>
    <s v="Taxi moto gare routière-marché,prospection"/>
    <s v="Transport"/>
    <s v="Investigation"/>
    <x v="294"/>
    <x v="682"/>
    <n v="533.50300000000004"/>
    <s v="P29"/>
    <s v="P29-S-D1"/>
    <s v="PALF"/>
    <x v="3"/>
    <s v="Congo"/>
    <x v="0"/>
    <x v="0"/>
    <m/>
  </r>
  <r>
    <x v="219"/>
    <s v="Taxi tricycle marché-tiolo,prospection"/>
    <s v="Transport"/>
    <s v="Investigation"/>
    <x v="295"/>
    <x v="698"/>
    <n v="533.50300000000004"/>
    <s v="P29"/>
    <s v="P29-S-D1"/>
    <s v="PALF"/>
    <x v="3"/>
    <s v="Congo"/>
    <x v="0"/>
    <x v="0"/>
    <m/>
  </r>
  <r>
    <x v="219"/>
    <s v="Taxi tricycle tiolo-diatabazagombe,prospection"/>
    <s v="Transport"/>
    <s v="Investigation"/>
    <x v="295"/>
    <x v="698"/>
    <n v="533.50300000000004"/>
    <s v="P29"/>
    <s v="P29-S-D1"/>
    <s v="PALF"/>
    <x v="3"/>
    <s v="Congo"/>
    <x v="0"/>
    <x v="0"/>
    <m/>
  </r>
  <r>
    <x v="219"/>
    <s v="Taxi tricycle diatazabagombe-école,prospection"/>
    <s v="Transport"/>
    <s v="Investigation"/>
    <x v="295"/>
    <x v="698"/>
    <n v="533.50300000000004"/>
    <s v="P29"/>
    <s v="P29-S-D1"/>
    <s v="PALF"/>
    <x v="3"/>
    <s v="Congo"/>
    <x v="0"/>
    <x v="0"/>
    <m/>
  </r>
  <r>
    <x v="219"/>
    <s v="Taxi moto ecole-gare routière"/>
    <s v="Transport"/>
    <s v="Investigation"/>
    <x v="294"/>
    <x v="682"/>
    <n v="533.50300000000004"/>
    <s v="P29"/>
    <s v="P29-S-D1"/>
    <s v="PALF"/>
    <x v="3"/>
    <s v="Congo"/>
    <x v="0"/>
    <x v="0"/>
    <m/>
  </r>
  <r>
    <x v="219"/>
    <s v="Taxi gare routière-dolisie,retour à dolisie"/>
    <s v="Transport"/>
    <s v="Investigation"/>
    <x v="120"/>
    <x v="702"/>
    <n v="533.50300000000004"/>
    <s v="P29"/>
    <s v="P29-S-D1"/>
    <s v="PALF"/>
    <x v="3"/>
    <s v="Congo"/>
    <x v="0"/>
    <x v="0"/>
    <m/>
  </r>
  <r>
    <x v="219"/>
    <s v="Achat boison avec un cible"/>
    <s v="Trust Building"/>
    <s v="Investigation"/>
    <x v="70"/>
    <x v="697"/>
    <n v="533.50300000000004"/>
    <s v="P29"/>
    <s v="P29-S-D3"/>
    <s v="PALF"/>
    <x v="3"/>
    <s v="Congo"/>
    <x v="0"/>
    <x v="0"/>
    <m/>
  </r>
  <r>
    <x v="219"/>
    <s v="Taxi : hotel - lissanga (prospection à dolisie)"/>
    <s v="Transport"/>
    <s v="Investigation"/>
    <x v="24"/>
    <x v="678"/>
    <n v="533.50300000000004"/>
    <s v="T73"/>
    <s v="T73-S-D1"/>
    <s v="PALF"/>
    <x v="3"/>
    <s v="Congo"/>
    <x v="0"/>
    <x v="0"/>
    <m/>
  </r>
  <r>
    <x v="219"/>
    <s v="Taxi : hotel - lissanga (prospection à dolisie)"/>
    <s v="Transport"/>
    <s v="Investigation"/>
    <x v="24"/>
    <x v="678"/>
    <n v="533.50300000000004"/>
    <s v="T73"/>
    <s v="T73-S-D1"/>
    <s v="PALF"/>
    <x v="3"/>
    <s v="Congo"/>
    <x v="0"/>
    <x v="0"/>
    <m/>
  </r>
  <r>
    <x v="219"/>
    <s v="Taxi : lissanga - bacongo (prospection à dolisie)"/>
    <s v="Transport"/>
    <s v="Investigation"/>
    <x v="24"/>
    <x v="678"/>
    <n v="533.50300000000004"/>
    <s v="T73"/>
    <s v="T73-S-D1"/>
    <s v="PALF"/>
    <x v="3"/>
    <s v="Congo"/>
    <x v="0"/>
    <x v="0"/>
    <m/>
  </r>
  <r>
    <x v="219"/>
    <s v="Taxi : bacongo - marché (prospection à dolisie)"/>
    <s v="Transport"/>
    <s v="Investigation"/>
    <x v="24"/>
    <x v="678"/>
    <n v="533.50300000000004"/>
    <s v="T73"/>
    <s v="T73-S-D1"/>
    <s v="PALF"/>
    <x v="3"/>
    <s v="Congo"/>
    <x v="0"/>
    <x v="0"/>
    <m/>
  </r>
  <r>
    <x v="219"/>
    <s v="Taxi : marché - hotel (prospection à dolisie)"/>
    <s v="Transport"/>
    <s v="Investigation"/>
    <x v="24"/>
    <x v="678"/>
    <n v="533.50300000000004"/>
    <s v="T73"/>
    <s v="T73-S-D1"/>
    <s v="PALF"/>
    <x v="3"/>
    <s v="Congo"/>
    <x v="0"/>
    <x v="0"/>
    <m/>
  </r>
  <r>
    <x v="219"/>
    <s v="achat boison (une cible)"/>
    <s v="Trust Building"/>
    <s v="Investigation"/>
    <x v="120"/>
    <x v="702"/>
    <n v="533.50300000000004"/>
    <s v="T73"/>
    <s v="T73-S-D3"/>
    <s v="PALF"/>
    <x v="3"/>
    <s v="Congo"/>
    <x v="0"/>
    <x v="0"/>
    <m/>
  </r>
  <r>
    <x v="219"/>
    <s v="Taxi moto : Hôtel - Marché/ Prospection"/>
    <s v="Transport"/>
    <s v="Investigation"/>
    <x v="332"/>
    <x v="695"/>
    <n v="533.50300000000004"/>
    <s v="IT87"/>
    <s v="IT87-S-D1"/>
    <s v="PALF"/>
    <x v="3"/>
    <s v="Congo"/>
    <x v="0"/>
    <x v="0"/>
    <m/>
  </r>
  <r>
    <x v="219"/>
    <s v="Taxi moto : Marché - Mouila/ Prospection"/>
    <s v="Transport"/>
    <s v="Investigation"/>
    <x v="294"/>
    <x v="682"/>
    <n v="533.50300000000004"/>
    <s v="IT87"/>
    <s v="IT87-S-D1"/>
    <s v="PALF"/>
    <x v="3"/>
    <s v="Congo"/>
    <x v="0"/>
    <x v="0"/>
    <m/>
  </r>
  <r>
    <x v="219"/>
    <s v="Taxi moto : Mouila - Terrain gazonné/ Prospection"/>
    <s v="Transport"/>
    <s v="Investigation"/>
    <x v="294"/>
    <x v="682"/>
    <n v="533.50300000000004"/>
    <s v="IT87"/>
    <s v="IT87-S-D1"/>
    <s v="PALF"/>
    <x v="3"/>
    <s v="Congo"/>
    <x v="0"/>
    <x v="0"/>
    <m/>
  </r>
  <r>
    <x v="219"/>
    <s v="Taxi moto : Terrain gazonné - Agence trans bony/ Achat billet"/>
    <s v="Transport"/>
    <s v="Investigation"/>
    <x v="332"/>
    <x v="695"/>
    <n v="533.50300000000004"/>
    <s v="IT87"/>
    <s v="IT87-S-D1"/>
    <s v="PALF"/>
    <x v="3"/>
    <s v="Congo"/>
    <x v="0"/>
    <x v="0"/>
    <m/>
  </r>
  <r>
    <x v="219"/>
    <s v="Taxi moto : Agence trans bony - Hôtel/ Retour de prospection"/>
    <s v="Transport"/>
    <s v="Investigation"/>
    <x v="294"/>
    <x v="682"/>
    <n v="533.50300000000004"/>
    <s v="IT87"/>
    <s v="IT87-S-D1"/>
    <s v="PALF"/>
    <x v="3"/>
    <s v="Congo"/>
    <x v="0"/>
    <x v="0"/>
    <m/>
  </r>
  <r>
    <x v="219"/>
    <s v="Taxi: Domicile-la frontière/prospection"/>
    <s v="Transport"/>
    <s v="Investigation"/>
    <x v="24"/>
    <x v="678"/>
    <n v="533.50300000000004"/>
    <s v="G12"/>
    <s v="G12-S-D1"/>
    <s v="PALF"/>
    <x v="3"/>
    <s v="Congo"/>
    <x v="0"/>
    <x v="0"/>
    <m/>
  </r>
  <r>
    <x v="219"/>
    <s v="Taxi: Frontière- Campus/ prospection"/>
    <s v="Transport"/>
    <s v="Investigation"/>
    <x v="24"/>
    <x v="678"/>
    <n v="533.50300000000004"/>
    <s v="G12"/>
    <s v="G12-S-D1"/>
    <s v="PALF"/>
    <x v="3"/>
    <s v="Congo"/>
    <x v="0"/>
    <x v="0"/>
    <m/>
  </r>
  <r>
    <x v="219"/>
    <s v="Taxi:  Campus -Domicile"/>
    <s v="Transport"/>
    <s v="Investigation"/>
    <x v="24"/>
    <x v="678"/>
    <n v="533.50300000000004"/>
    <s v="G12"/>
    <s v="G12-S-D1"/>
    <s v="PALF"/>
    <x v="3"/>
    <s v="Congo"/>
    <x v="0"/>
    <x v="0"/>
    <m/>
  </r>
  <r>
    <x v="219"/>
    <s v="Taxi moto Hôtel Mithé-Gengarmerie/ Rencontrer le CEMRG"/>
    <s v="Transport "/>
    <s v="Legal"/>
    <x v="294"/>
    <x v="682"/>
    <n v="533.50300000000004"/>
    <s v="Donald-Romeo"/>
    <s v="DR-S-D1"/>
    <s v="PALF"/>
    <x v="3"/>
    <s v="Congo"/>
    <x v="0"/>
    <x v="0"/>
    <m/>
  </r>
  <r>
    <x v="219"/>
    <s v="Taxi moto Gendarmerie-Charden farell/ Retrait de fonds"/>
    <s v="Transport "/>
    <s v="Legal"/>
    <x v="294"/>
    <x v="682"/>
    <n v="533.50300000000004"/>
    <s v="Donald-Romeo"/>
    <s v="DR-S-D1"/>
    <s v="PALF"/>
    <x v="3"/>
    <s v="Congo"/>
    <x v="0"/>
    <x v="0"/>
    <m/>
  </r>
  <r>
    <x v="219"/>
    <s v="Taxi moto Charden farell-Hôtel Mithé"/>
    <s v="Transport "/>
    <s v="Legal"/>
    <x v="294"/>
    <x v="682"/>
    <n v="533.50300000000004"/>
    <s v="Donald-Romeo"/>
    <s v="DR-S-D1"/>
    <s v="PALF"/>
    <x v="3"/>
    <s v="Congo"/>
    <x v="0"/>
    <x v="0"/>
    <m/>
  </r>
  <r>
    <x v="219"/>
    <s v="Bonus opération du 25/08/2025 à Impfondo/Evariste"/>
    <s v="Bonus"/>
    <s v="Operation"/>
    <x v="44"/>
    <x v="712"/>
    <n v="533.50300000000004"/>
    <s v="Evariste"/>
    <s v="CA-S-D4"/>
    <s v="PALF"/>
    <x v="3"/>
    <s v="Congo"/>
    <x v="0"/>
    <x v="0"/>
    <m/>
  </r>
  <r>
    <x v="220"/>
    <s v="Maison -Bureau"/>
    <s v="Transport"/>
    <s v="Management"/>
    <x v="24"/>
    <x v="678"/>
    <n v="533.50300000000004"/>
    <s v="DOVI"/>
    <s v="DH-S-D1"/>
    <s v="PALF"/>
    <x v="3"/>
    <s v="Congo"/>
    <x v="0"/>
    <x v="0"/>
    <m/>
  </r>
  <r>
    <x v="220"/>
    <s v="Bureau -maison"/>
    <s v="Transport"/>
    <s v="Management"/>
    <x v="24"/>
    <x v="678"/>
    <n v="533.50300000000004"/>
    <s v="DOVI"/>
    <s v="DH-S-D1"/>
    <s v="PALF"/>
    <x v="3"/>
    <s v="Congo"/>
    <x v="0"/>
    <x v="0"/>
    <m/>
  </r>
  <r>
    <x v="220"/>
    <s v="Taxi:  Bureau-Banque BCI/Accusé reception de la lettre de justificatif de fond PALF"/>
    <s v="Transport"/>
    <s v="Office"/>
    <x v="24"/>
    <x v="678"/>
    <n v="533.50300000000004"/>
    <s v="Parfaite"/>
    <s v="P-S-D1"/>
    <s v="PALF"/>
    <x v="3"/>
    <s v="Congo"/>
    <x v="0"/>
    <x v="0"/>
    <m/>
  </r>
  <r>
    <x v="220"/>
    <s v="Taxi:  Banque BCI - Bureau"/>
    <s v="Transport"/>
    <s v="Office"/>
    <x v="24"/>
    <x v="678"/>
    <n v="533.50300000000004"/>
    <s v="Parfaite"/>
    <s v="P-S-D1"/>
    <s v="PALF"/>
    <x v="3"/>
    <s v="Congo"/>
    <x v="0"/>
    <x v="0"/>
    <m/>
  </r>
  <r>
    <x v="220"/>
    <s v="Taxi hotel-mombi,prospection"/>
    <s v="Transport"/>
    <s v="Investigation"/>
    <x v="24"/>
    <x v="678"/>
    <n v="533.50300000000004"/>
    <s v="P29"/>
    <s v="P29-S-D1"/>
    <s v="PALF"/>
    <x v="3"/>
    <s v="Congo"/>
    <x v="0"/>
    <x v="0"/>
    <m/>
  </r>
  <r>
    <x v="220"/>
    <s v="Taxi mombi-capable,prospection"/>
    <s v="Transport"/>
    <s v="Investigation"/>
    <x v="24"/>
    <x v="678"/>
    <n v="533.50300000000004"/>
    <s v="P29"/>
    <s v="P29-S-D1"/>
    <s v="PALF"/>
    <x v="3"/>
    <s v="Congo"/>
    <x v="0"/>
    <x v="0"/>
    <m/>
  </r>
  <r>
    <x v="220"/>
    <s v="Taxi capable-CF,retrait des fond"/>
    <s v="Transport"/>
    <s v="Investigation"/>
    <x v="24"/>
    <x v="678"/>
    <n v="533.50300000000004"/>
    <s v="P29"/>
    <s v="P29-S-D1"/>
    <s v="PALF"/>
    <x v="3"/>
    <s v="Congo"/>
    <x v="0"/>
    <x v="0"/>
    <m/>
  </r>
  <r>
    <x v="220"/>
    <s v="Taxi CF-tsila,prospection"/>
    <s v="Transport"/>
    <s v="Investigation"/>
    <x v="24"/>
    <x v="678"/>
    <n v="533.50300000000004"/>
    <s v="P29"/>
    <s v="P29-S-D1"/>
    <s v="PALF"/>
    <x v="3"/>
    <s v="Congo"/>
    <x v="0"/>
    <x v="0"/>
    <m/>
  </r>
  <r>
    <x v="220"/>
    <s v="Taxi tsila-hotel"/>
    <s v="Transport"/>
    <s v="Investigation"/>
    <x v="24"/>
    <x v="678"/>
    <n v="533.50300000000004"/>
    <s v="P29"/>
    <s v="P29-S-D1"/>
    <s v="PALF"/>
    <x v="3"/>
    <s v="Congo"/>
    <x v="0"/>
    <x v="0"/>
    <m/>
  </r>
  <r>
    <x v="220"/>
    <s v="Achat boisson"/>
    <s v="Transport"/>
    <s v="Investigation"/>
    <x v="70"/>
    <x v="697"/>
    <n v="533.50300000000004"/>
    <s v="P29"/>
    <s v="P29-S-D1"/>
    <s v="PALF"/>
    <x v="3"/>
    <s v="Congo"/>
    <x v="0"/>
    <x v="0"/>
    <m/>
  </r>
  <r>
    <x v="220"/>
    <s v="Taxi : hotel - gare routière (prospection à dolisie)"/>
    <s v="Transport"/>
    <s v="Investigation"/>
    <x v="24"/>
    <x v="678"/>
    <n v="533.50300000000004"/>
    <s v="T73"/>
    <s v="T73-S-D1"/>
    <s v="PALF"/>
    <x v="3"/>
    <s v="Congo"/>
    <x v="0"/>
    <x v="0"/>
    <m/>
  </r>
  <r>
    <x v="220"/>
    <s v="Taxi : gare routière - zone aeroport (prospection à dolisie)"/>
    <s v="Transport"/>
    <s v="Investigation"/>
    <x v="24"/>
    <x v="678"/>
    <n v="533.50300000000004"/>
    <s v="T73"/>
    <s v="T73-S-D1"/>
    <s v="PALF"/>
    <x v="3"/>
    <s v="Congo"/>
    <x v="0"/>
    <x v="0"/>
    <m/>
  </r>
  <r>
    <x v="220"/>
    <s v="Taxi : zone aeroport - gaya (prospection à dolisie)"/>
    <s v="Transport"/>
    <s v="Investigation"/>
    <x v="24"/>
    <x v="678"/>
    <n v="533.50300000000004"/>
    <s v="T73"/>
    <s v="T73-S-D1"/>
    <s v="PALF"/>
    <x v="3"/>
    <s v="Congo"/>
    <x v="0"/>
    <x v="0"/>
    <m/>
  </r>
  <r>
    <x v="220"/>
    <s v="Taxi : gaya - charden farel (prospection à dolisie)"/>
    <s v="Transport"/>
    <s v="Investigation"/>
    <x v="24"/>
    <x v="678"/>
    <n v="533.50300000000004"/>
    <s v="T73"/>
    <s v="T73-S-D1"/>
    <s v="PALF"/>
    <x v="3"/>
    <s v="Congo"/>
    <x v="0"/>
    <x v="0"/>
    <m/>
  </r>
  <r>
    <x v="220"/>
    <s v="Taxi : charden farel - hotel (fin de journée)"/>
    <s v="Transport"/>
    <s v="Investigation"/>
    <x v="24"/>
    <x v="678"/>
    <n v="533.50300000000004"/>
    <s v="T73"/>
    <s v="T73-S-D1"/>
    <s v="PALF"/>
    <x v="3"/>
    <s v="Congo"/>
    <x v="0"/>
    <x v="0"/>
    <m/>
  </r>
  <r>
    <x v="220"/>
    <s v="Taxi : gaya - hotel (prospection à dolisie)"/>
    <s v="Transport"/>
    <s v="Investigation"/>
    <x v="24"/>
    <x v="678"/>
    <n v="533.50300000000004"/>
    <s v="T73"/>
    <s v="T73-S-D1"/>
    <s v="PALF"/>
    <x v="3"/>
    <s v="Congo"/>
    <x v="0"/>
    <x v="0"/>
    <m/>
  </r>
  <r>
    <x v="220"/>
    <s v="achat boisson"/>
    <s v="Trust Building"/>
    <s v="Investigation"/>
    <x v="70"/>
    <x v="697"/>
    <n v="533.50300000000004"/>
    <s v="T73"/>
    <s v="T73-S-D3"/>
    <s v="PALF"/>
    <x v="3"/>
    <s v="Congo"/>
    <x v="0"/>
    <x v="0"/>
    <m/>
  </r>
  <r>
    <x v="220"/>
    <s v="IT87-CONGO Frais d'hôtel  du 08 au 10/09/2024 à Bouansa (02 nuitées)"/>
    <s v="Travel Subsistence"/>
    <s v="Investigation"/>
    <x v="44"/>
    <x v="712"/>
    <n v="533.50300000000004"/>
    <s v="IT87"/>
    <s v="IT87-S-R8"/>
    <s v="PALF"/>
    <x v="3"/>
    <s v="Congo"/>
    <x v="0"/>
    <x v="0"/>
    <m/>
  </r>
  <r>
    <x v="220"/>
    <s v="Taxi moto : Hôtel - Agence Trans Bony/ Départ de Bouansa pour Brazzaville"/>
    <s v="Transport"/>
    <s v="Investigation"/>
    <x v="294"/>
    <x v="682"/>
    <n v="533.50300000000004"/>
    <s v="IT87"/>
    <s v="IT87-S-D1"/>
    <s v="PALF"/>
    <x v="3"/>
    <s v="Congo"/>
    <x v="0"/>
    <x v="0"/>
    <m/>
  </r>
  <r>
    <x v="220"/>
    <s v="Achat billet Bouansa - Brazzaville/ IT87"/>
    <s v="Transport"/>
    <s v="Investigation"/>
    <x v="12"/>
    <x v="713"/>
    <n v="533.50300000000004"/>
    <s v="IT87"/>
    <s v="IT87-S-R8"/>
    <s v="PALF"/>
    <x v="3"/>
    <s v="Congo"/>
    <x v="0"/>
    <x v="0"/>
    <m/>
  </r>
  <r>
    <x v="220"/>
    <s v="Taxi : Agence Trans bony - Domicile/ Arrivée à Brazzaville"/>
    <s v="Transport"/>
    <s v="Investigation"/>
    <x v="75"/>
    <x v="694"/>
    <n v="533.50300000000004"/>
    <s v="IT87"/>
    <s v="IT87-S-D1"/>
    <s v="PALF"/>
    <x v="3"/>
    <s v="Congo"/>
    <x v="0"/>
    <x v="0"/>
    <m/>
  </r>
  <r>
    <x v="220"/>
    <s v="Taxi:  Domicile- Maison blanche / prospection"/>
    <s v="Transport"/>
    <s v="Investigation"/>
    <x v="24"/>
    <x v="678"/>
    <n v="533.50300000000004"/>
    <s v="G12"/>
    <s v="G12-S-D1"/>
    <s v="PALF"/>
    <x v="3"/>
    <s v="Congo"/>
    <x v="0"/>
    <x v="0"/>
    <m/>
  </r>
  <r>
    <x v="220"/>
    <s v="Taxi:   Maison blanche - Mfilou/ prospection"/>
    <s v="Transport"/>
    <s v="Investigation"/>
    <x v="24"/>
    <x v="678"/>
    <n v="533.50300000000004"/>
    <s v="G12"/>
    <s v="G12-S-D1"/>
    <s v="PALF"/>
    <x v="3"/>
    <s v="Congo"/>
    <x v="0"/>
    <x v="0"/>
    <m/>
  </r>
  <r>
    <x v="220"/>
    <s v="Taxi: Mfilou - domicile"/>
    <s v="Transport"/>
    <s v="Investigation"/>
    <x v="24"/>
    <x v="678"/>
    <n v="533.50300000000004"/>
    <s v="G12"/>
    <s v="G12-S-D1"/>
    <s v="PALF"/>
    <x v="3"/>
    <s v="Congo"/>
    <x v="0"/>
    <x v="0"/>
    <m/>
  </r>
  <r>
    <x v="220"/>
    <s v="Taxi:Bureau-Cabinet BANZOUZI pour la vérification de la disponibilité du rapport de mission"/>
    <s v="Transport"/>
    <s v="Legal"/>
    <x v="24"/>
    <x v="678"/>
    <n v="533.50300000000004"/>
    <s v="Roderlin"/>
    <s v="RO-S-D1"/>
    <s v="PALF"/>
    <x v="3"/>
    <s v="Congo"/>
    <x v="0"/>
    <x v="0"/>
    <m/>
  </r>
  <r>
    <x v="220"/>
    <s v="Taxi:Cabinet BANZOUZI-Bureau"/>
    <s v="Transport"/>
    <s v="Legal"/>
    <x v="24"/>
    <x v="678"/>
    <n v="533.50300000000004"/>
    <s v="Roderlin"/>
    <s v="RO-S-D1"/>
    <s v="PALF"/>
    <x v="3"/>
    <s v="Congo"/>
    <x v="0"/>
    <x v="0"/>
    <m/>
  </r>
  <r>
    <x v="220"/>
    <s v="Taxi: Bureau-Charden Farell"/>
    <s v="Transport"/>
    <s v="Legal"/>
    <x v="294"/>
    <x v="682"/>
    <n v="533.50300000000004"/>
    <s v="Romain"/>
    <s v="RM-S-D1"/>
    <s v="PALF"/>
    <x v="3"/>
    <s v="Congo"/>
    <x v="0"/>
    <x v="0"/>
    <m/>
  </r>
  <r>
    <x v="220"/>
    <s v="Taxi: Charden Farell-Bureau"/>
    <s v="Transport"/>
    <s v="Legal"/>
    <x v="294"/>
    <x v="682"/>
    <n v="533.50300000000004"/>
    <s v="Romain"/>
    <s v="RM-S-D1"/>
    <s v="PALF"/>
    <x v="3"/>
    <s v="Congo"/>
    <x v="0"/>
    <x v="0"/>
    <m/>
  </r>
  <r>
    <x v="220"/>
    <s v="Taxi: Bureau-Direction Générale de l'Economie Forestière"/>
    <s v="Transport"/>
    <s v="Legal"/>
    <x v="24"/>
    <x v="678"/>
    <n v="533.50300000000004"/>
    <s v="Romain"/>
    <s v="RM-S-D1"/>
    <s v="PALF"/>
    <x v="3"/>
    <s v="Congo"/>
    <x v="0"/>
    <x v="0"/>
    <m/>
  </r>
  <r>
    <x v="220"/>
    <s v="Taxi: Direction Générale de l'Economie Forestière-Bureau"/>
    <s v="Transport"/>
    <s v="Legal"/>
    <x v="24"/>
    <x v="678"/>
    <n v="533.50300000000004"/>
    <s v="Romain"/>
    <s v="RM-S-D1"/>
    <s v="PALF"/>
    <x v="3"/>
    <s v="Congo"/>
    <x v="0"/>
    <x v="0"/>
    <m/>
  </r>
  <r>
    <x v="220"/>
    <s v="Taxi: Bureau-Charden Farrell(pour le transfert des fonds)"/>
    <s v="Transport"/>
    <s v="Legal"/>
    <x v="294"/>
    <x v="682"/>
    <n v="533.50300000000004"/>
    <s v="Romain"/>
    <s v="RM-S-D1"/>
    <s v="PALF"/>
    <x v="3"/>
    <s v="Congo"/>
    <x v="0"/>
    <x v="0"/>
    <m/>
  </r>
  <r>
    <x v="220"/>
    <s v="Taxi: Charden Farell-Bureau"/>
    <s v="Transport"/>
    <s v="Legal"/>
    <x v="294"/>
    <x v="682"/>
    <n v="533.50300000000004"/>
    <s v="Romain"/>
    <s v="RM-S-D1"/>
    <s v="PALF"/>
    <x v="3"/>
    <s v="Congo"/>
    <x v="0"/>
    <x v="0"/>
    <m/>
  </r>
  <r>
    <x v="220"/>
    <s v="Frais de tansfert d'argent à Crepin, Donald-Roméo, P29"/>
    <s v="Transfert fees"/>
    <s v="Office"/>
    <x v="336"/>
    <x v="714"/>
    <n v="533.50300000000004"/>
    <s v="Romain"/>
    <s v="CA-S-R10"/>
    <s v="PALF"/>
    <x v="3"/>
    <s v="Congo"/>
    <x v="0"/>
    <x v="0"/>
    <m/>
  </r>
  <r>
    <x v="221"/>
    <s v="Maison-Bureau"/>
    <s v="Transport"/>
    <s v="Management"/>
    <x v="24"/>
    <x v="678"/>
    <n v="533.50300000000004"/>
    <s v="DOVI"/>
    <s v="DH-S-D1"/>
    <s v="PALF"/>
    <x v="3"/>
    <s v="Congo"/>
    <x v="0"/>
    <x v="0"/>
    <m/>
  </r>
  <r>
    <x v="221"/>
    <s v="Bureau -Maison"/>
    <s v="Transport"/>
    <s v="Management"/>
    <x v="24"/>
    <x v="678"/>
    <n v="533.50300000000004"/>
    <s v="DOVI"/>
    <s v="DH-S-D1"/>
    <s v="PALF"/>
    <x v="3"/>
    <s v="Congo"/>
    <x v="0"/>
    <x v="0"/>
    <m/>
  </r>
  <r>
    <x v="221"/>
    <s v="Taxi moto: Hôtel-Agence Océan pour les formalités"/>
    <s v="Transport"/>
    <s v="Legal"/>
    <x v="294"/>
    <x v="682"/>
    <n v="533.50300000000004"/>
    <s v="Crepin"/>
    <s v="CR-S-D1"/>
    <s v="PALF"/>
    <x v="3"/>
    <s v="Congo"/>
    <x v="0"/>
    <x v="0"/>
    <m/>
  </r>
  <r>
    <x v="221"/>
    <s v="Taxi moto: Agence Océan-Hôtel"/>
    <s v="Transport"/>
    <s v="Legal"/>
    <x v="294"/>
    <x v="682"/>
    <n v="533.50300000000004"/>
    <s v="Crepin"/>
    <s v="CR-S-D1"/>
    <s v="PALF"/>
    <x v="3"/>
    <s v="Congo"/>
    <x v="0"/>
    <x v="0"/>
    <m/>
  </r>
  <r>
    <x v="221"/>
    <s v="Taxi hotel-cf marché,pas de fonds disponible"/>
    <s v="Transport"/>
    <s v="Investigation"/>
    <x v="24"/>
    <x v="678"/>
    <n v="533.50300000000004"/>
    <s v="P29"/>
    <s v="P29-S-D1"/>
    <s v="PALF"/>
    <x v="3"/>
    <s v="Congo"/>
    <x v="0"/>
    <x v="0"/>
    <m/>
  </r>
  <r>
    <x v="221"/>
    <s v="Taxi cf marché-cf cv,retrait des fonds"/>
    <s v="Transport"/>
    <s v="Investigation"/>
    <x v="24"/>
    <x v="678"/>
    <n v="533.50300000000004"/>
    <s v="P29"/>
    <s v="P29-S-D1"/>
    <s v="PALF"/>
    <x v="3"/>
    <s v="Congo"/>
    <x v="0"/>
    <x v="0"/>
    <m/>
  </r>
  <r>
    <x v="221"/>
    <s v="Taxi cf -sab,reperage"/>
    <s v="Transport"/>
    <s v="Investigation"/>
    <x v="24"/>
    <x v="678"/>
    <n v="533.50300000000004"/>
    <s v="P29"/>
    <s v="P29-S-D1"/>
    <s v="PALF"/>
    <x v="3"/>
    <s v="Congo"/>
    <x v="0"/>
    <x v="0"/>
    <m/>
  </r>
  <r>
    <x v="221"/>
    <s v="Taxi sab-ecole du marché,prperage"/>
    <s v="Transport"/>
    <s v="Investigation"/>
    <x v="24"/>
    <x v="678"/>
    <n v="533.50300000000004"/>
    <s v="P29"/>
    <s v="P29-S-D1"/>
    <s v="PALF"/>
    <x v="3"/>
    <s v="Congo"/>
    <x v="0"/>
    <x v="0"/>
    <m/>
  </r>
  <r>
    <x v="221"/>
    <s v="Taxi ecole du marché-aeroport,reperage"/>
    <s v="Transport"/>
    <s v="Investigation"/>
    <x v="24"/>
    <x v="678"/>
    <n v="533.50300000000004"/>
    <s v="P29"/>
    <s v="P29-S-D1"/>
    <s v="PALF"/>
    <x v="3"/>
    <s v="Congo"/>
    <x v="0"/>
    <x v="0"/>
    <m/>
  </r>
  <r>
    <x v="221"/>
    <s v="Taxi aeroprt-capable,reperage"/>
    <s v="Transport"/>
    <s v="Investigation"/>
    <x v="24"/>
    <x v="678"/>
    <n v="533.50300000000004"/>
    <s v="P29"/>
    <s v="P29-S-D1"/>
    <s v="PALF"/>
    <x v="3"/>
    <s v="Congo"/>
    <x v="0"/>
    <x v="0"/>
    <m/>
  </r>
  <r>
    <x v="221"/>
    <s v="Taxi capable-hotel"/>
    <s v="Transport"/>
    <s v="Investigation"/>
    <x v="24"/>
    <x v="678"/>
    <n v="533.50300000000004"/>
    <s v="P29"/>
    <s v="P29-S-D1"/>
    <s v="PALF"/>
    <x v="3"/>
    <s v="Congo"/>
    <x v="0"/>
    <x v="0"/>
    <m/>
  </r>
  <r>
    <x v="221"/>
    <s v="Taxi : hotel - petit zanaga ( rendez - vous avec la cible)"/>
    <s v="Transport"/>
    <s v="Investigation"/>
    <x v="24"/>
    <x v="678"/>
    <n v="533.50300000000004"/>
    <s v="T73"/>
    <s v="T73-S-D1"/>
    <s v="PALF"/>
    <x v="3"/>
    <s v="Congo"/>
    <x v="0"/>
    <x v="0"/>
    <m/>
  </r>
  <r>
    <x v="221"/>
    <s v="Taxi : petit zanaga - centre ville ( rendez - vous avec la cible)"/>
    <s v="Transport"/>
    <s v="Investigation"/>
    <x v="24"/>
    <x v="678"/>
    <n v="533.50300000000004"/>
    <s v="T73"/>
    <s v="T73-S-D1"/>
    <s v="PALF"/>
    <x v="3"/>
    <s v="Congo"/>
    <x v="0"/>
    <x v="0"/>
    <m/>
  </r>
  <r>
    <x v="221"/>
    <s v="Taxi : centre ville - marché (extraction)"/>
    <s v="Transport"/>
    <s v="Investigation"/>
    <x v="24"/>
    <x v="678"/>
    <n v="533.50300000000004"/>
    <s v="T73"/>
    <s v="T73-S-D1"/>
    <s v="PALF"/>
    <x v="3"/>
    <s v="Congo"/>
    <x v="0"/>
    <x v="0"/>
    <m/>
  </r>
  <r>
    <x v="221"/>
    <s v="Taxi : marché - zone hopital (extraction)"/>
    <s v="Transport"/>
    <s v="Investigation"/>
    <x v="24"/>
    <x v="678"/>
    <n v="533.50300000000004"/>
    <s v="T73"/>
    <s v="T73-S-D1"/>
    <s v="PALF"/>
    <x v="3"/>
    <s v="Congo"/>
    <x v="0"/>
    <x v="0"/>
    <m/>
  </r>
  <r>
    <x v="221"/>
    <s v="Taxi : zone hopital - zone stade  (extraction)"/>
    <s v="Transport"/>
    <s v="Investigation"/>
    <x v="24"/>
    <x v="678"/>
    <n v="533.50300000000004"/>
    <s v="T73"/>
    <s v="T73-S-D1"/>
    <s v="PALF"/>
    <x v="3"/>
    <s v="Congo"/>
    <x v="0"/>
    <x v="0"/>
    <m/>
  </r>
  <r>
    <x v="221"/>
    <s v="Taxi : zone stade - charden farrel (recuperer fond)"/>
    <s v="Transport"/>
    <s v="Investigation"/>
    <x v="24"/>
    <x v="678"/>
    <n v="533.50300000000004"/>
    <s v="T73"/>
    <s v="T73-S-D1"/>
    <s v="PALF"/>
    <x v="3"/>
    <s v="Congo"/>
    <x v="0"/>
    <x v="0"/>
    <m/>
  </r>
  <r>
    <x v="221"/>
    <s v="Taxi : charden farrel - hotel (fin de journée)"/>
    <s v="Transport"/>
    <s v="Investigation"/>
    <x v="24"/>
    <x v="678"/>
    <n v="533.50300000000004"/>
    <s v="T73"/>
    <s v="T73-S-D1"/>
    <s v="PALF"/>
    <x v="3"/>
    <s v="Congo"/>
    <x v="0"/>
    <x v="0"/>
    <m/>
  </r>
  <r>
    <x v="221"/>
    <s v="Taxi : zone stade -hotel  (extraction)"/>
    <s v="Transport"/>
    <s v="Investigation"/>
    <x v="24"/>
    <x v="678"/>
    <n v="533.50300000000004"/>
    <s v="T73"/>
    <s v="T73-S-D1"/>
    <s v="PALF"/>
    <x v="3"/>
    <s v="Congo"/>
    <x v="0"/>
    <x v="0"/>
    <m/>
  </r>
  <r>
    <x v="221"/>
    <s v="achat boissons et nourriture ( une cible)"/>
    <s v="Trust Building"/>
    <s v="Investigation"/>
    <x v="119"/>
    <x v="715"/>
    <n v="533.50300000000004"/>
    <s v="T73"/>
    <s v="T73-S-D3"/>
    <s v="PALF"/>
    <x v="3"/>
    <s v="Congo"/>
    <x v="0"/>
    <x v="0"/>
    <m/>
  </r>
  <r>
    <x v="221"/>
    <s v="Taxi:Bureau-Cabinet BANZOUZI pour le rétrait du rapport de mission"/>
    <s v="Transport"/>
    <s v="Legal"/>
    <x v="24"/>
    <x v="678"/>
    <n v="533.50300000000004"/>
    <s v="Roderlin"/>
    <s v="RO-S-D1"/>
    <s v="PALF"/>
    <x v="3"/>
    <s v="Congo"/>
    <x v="0"/>
    <x v="0"/>
    <m/>
  </r>
  <r>
    <x v="221"/>
    <s v="Taxi:Cabinet BANZOUZI-Bureau"/>
    <s v="Transport"/>
    <s v="Legal"/>
    <x v="24"/>
    <x v="678"/>
    <n v="533.50300000000004"/>
    <s v="Roderlin"/>
    <s v="RO-S-D1"/>
    <s v="PALF"/>
    <x v="3"/>
    <s v="Congo"/>
    <x v="0"/>
    <x v="0"/>
    <m/>
  </r>
  <r>
    <x v="221"/>
    <s v="Taxi moto Hôtel Mithé-Charden farell/ Retrait de fonds"/>
    <s v="Transport "/>
    <s v="Legal"/>
    <x v="294"/>
    <x v="682"/>
    <n v="533.50300000000004"/>
    <s v="Donald-Romeo"/>
    <s v="DR-S-D1"/>
    <s v="PALF"/>
    <x v="3"/>
    <s v="Congo"/>
    <x v="0"/>
    <x v="0"/>
    <m/>
  </r>
  <r>
    <x v="221"/>
    <s v="Taxi moto Charden farell-Agence Océan du Nord/ Regulariser les billets"/>
    <s v="Transport "/>
    <s v="Legal"/>
    <x v="294"/>
    <x v="682"/>
    <n v="533.50300000000004"/>
    <s v="Donald-Romeo"/>
    <s v="DR-S-D1"/>
    <s v="PALF"/>
    <x v="3"/>
    <s v="Congo"/>
    <x v="0"/>
    <x v="0"/>
    <m/>
  </r>
  <r>
    <x v="221"/>
    <s v="Taxi moto Agence Océan du Nord-Hôtel Mithé"/>
    <s v="Transport "/>
    <s v="Legal"/>
    <x v="294"/>
    <x v="682"/>
    <n v="533.50300000000004"/>
    <s v="Donald-Romeo"/>
    <s v="DR-S-D1"/>
    <s v="PALF"/>
    <x v="3"/>
    <s v="Congo"/>
    <x v="0"/>
    <x v="0"/>
    <m/>
  </r>
  <r>
    <x v="221"/>
    <s v="Taxi moto Hôtel Mithé Océan du Nord/ Formalités"/>
    <s v="Transport "/>
    <s v="Legal"/>
    <x v="294"/>
    <x v="682"/>
    <n v="533.50300000000004"/>
    <s v="Donald-Romeo"/>
    <s v="DR-S-D1"/>
    <s v="PALF"/>
    <x v="3"/>
    <s v="Congo"/>
    <x v="0"/>
    <x v="0"/>
    <m/>
  </r>
  <r>
    <x v="221"/>
    <s v="Taxi moto Agence Océan du Nord-Hôtel Mithé"/>
    <s v="Transport "/>
    <s v="Legal"/>
    <x v="294"/>
    <x v="682"/>
    <n v="533.50300000000004"/>
    <s v="Donald-Romeo"/>
    <s v="DR-S-D1"/>
    <s v="PALF"/>
    <x v="3"/>
    <s v="Congo"/>
    <x v="0"/>
    <x v="0"/>
    <m/>
  </r>
  <r>
    <x v="221"/>
    <s v="Taxi: Bureau-Charden Farrell(pour le transfert des fonds)"/>
    <s v="Transport"/>
    <s v="Legal"/>
    <x v="294"/>
    <x v="682"/>
    <n v="533.50300000000004"/>
    <s v="Romain"/>
    <s v="RM-S-D1"/>
    <s v="PALF"/>
    <x v="3"/>
    <s v="Congo"/>
    <x v="0"/>
    <x v="0"/>
    <m/>
  </r>
  <r>
    <x v="221"/>
    <s v="Taxi: Charden Farell-Bureau"/>
    <s v="Transport"/>
    <s v="Legal"/>
    <x v="294"/>
    <x v="682"/>
    <n v="533.50300000000004"/>
    <s v="Romain"/>
    <s v="RM-S-D1"/>
    <s v="PALF"/>
    <x v="3"/>
    <s v="Congo"/>
    <x v="0"/>
    <x v="0"/>
    <m/>
  </r>
  <r>
    <x v="221"/>
    <s v="Frais de tansfert d'argent à T73 et P29"/>
    <s v="Transfert fees"/>
    <s v="Office"/>
    <x v="337"/>
    <x v="716"/>
    <n v="533.50300000000004"/>
    <s v="Romain"/>
    <s v="CA-S-R11"/>
    <s v="PALF"/>
    <x v="3"/>
    <s v="Congo"/>
    <x v="0"/>
    <x v="0"/>
    <m/>
  </r>
  <r>
    <x v="222"/>
    <s v="Maison-Bureau"/>
    <s v="Transport"/>
    <s v="Management"/>
    <x v="24"/>
    <x v="678"/>
    <n v="533.50300000000004"/>
    <s v="DOVI"/>
    <s v="DH-S-D1"/>
    <s v="PALF"/>
    <x v="3"/>
    <s v="Congo"/>
    <x v="0"/>
    <x v="0"/>
    <m/>
  </r>
  <r>
    <x v="222"/>
    <s v="Parc Zoologique - Bureau"/>
    <s v="Transport"/>
    <s v="Management"/>
    <x v="24"/>
    <x v="678"/>
    <n v="533.50300000000004"/>
    <s v="DOVI"/>
    <s v="DH-S-D1"/>
    <s v="PALF"/>
    <x v="3"/>
    <s v="Congo"/>
    <x v="0"/>
    <x v="0"/>
    <m/>
  </r>
  <r>
    <x v="222"/>
    <s v="Bureau-Maison"/>
    <s v="Transport"/>
    <s v="Management"/>
    <x v="24"/>
    <x v="678"/>
    <n v="533.50300000000004"/>
    <s v="DOVI"/>
    <s v="DH-S-D1"/>
    <s v="PALF"/>
    <x v="3"/>
    <s v="Congo"/>
    <x v="0"/>
    <x v="0"/>
    <m/>
  </r>
  <r>
    <x v="222"/>
    <s v="Frais d'hôtel Crépin à Impfondo, 18 Nuitées du 25/08/ au 12/09/2025"/>
    <s v="Travel Subsistence"/>
    <s v="Legal"/>
    <x v="338"/>
    <x v="717"/>
    <n v="533.50300000000004"/>
    <s v="Crepin"/>
    <s v="CR-S-R6"/>
    <s v="PALF"/>
    <x v="3"/>
    <s v="Congo"/>
    <x v="0"/>
    <x v="0"/>
    <m/>
  </r>
  <r>
    <x v="222"/>
    <s v="Taxi moto: Hôtel-Agence Océan du Nord"/>
    <s v="Transport"/>
    <s v="Legal"/>
    <x v="294"/>
    <x v="682"/>
    <n v="533.50300000000004"/>
    <s v="Crepin"/>
    <s v="CR-S-D1"/>
    <s v="PALF"/>
    <x v="3"/>
    <s v="Congo"/>
    <x v="0"/>
    <x v="0"/>
    <m/>
  </r>
  <r>
    <x v="222"/>
    <s v="Achat Billet Impfondo-Brazzaville/ CREPIN"/>
    <s v="Transport"/>
    <s v="Legal"/>
    <x v="303"/>
    <x v="718"/>
    <n v="533.50300000000004"/>
    <s v="Crepin"/>
    <s v="CR-S-R7"/>
    <s v="PALF"/>
    <x v="3"/>
    <s v="Congo"/>
    <x v="0"/>
    <x v="0"/>
    <m/>
  </r>
  <r>
    <x v="222"/>
    <s v="Taxi hotel-mboukou,reperage"/>
    <s v="Transport"/>
    <s v="Investigation"/>
    <x v="24"/>
    <x v="678"/>
    <n v="533.50300000000004"/>
    <s v="P29"/>
    <s v="P29-S-D1"/>
    <s v="PALF"/>
    <x v="3"/>
    <s v="Congo"/>
    <x v="0"/>
    <x v="0"/>
    <m/>
  </r>
  <r>
    <x v="222"/>
    <s v="Taxi mboukou-tsila,reperage"/>
    <s v="Transport"/>
    <s v="Investigation"/>
    <x v="120"/>
    <x v="702"/>
    <n v="533.50300000000004"/>
    <s v="P29"/>
    <s v="P29-S-D1"/>
    <s v="PALF"/>
    <x v="3"/>
    <s v="Congo"/>
    <x v="0"/>
    <x v="0"/>
    <m/>
  </r>
  <r>
    <x v="222"/>
    <s v="Taxi tsila-mont fleury,reperage"/>
    <s v="Transport"/>
    <s v="Investigation"/>
    <x v="24"/>
    <x v="678"/>
    <n v="533.50300000000004"/>
    <s v="P29"/>
    <s v="P29-S-D1"/>
    <s v="PALF"/>
    <x v="3"/>
    <s v="Congo"/>
    <x v="0"/>
    <x v="0"/>
    <m/>
  </r>
  <r>
    <x v="222"/>
    <s v="Taxi mont fleury-gaia,reperage"/>
    <s v="Transport"/>
    <s v="Investigation"/>
    <x v="24"/>
    <x v="678"/>
    <n v="533.50300000000004"/>
    <s v="P29"/>
    <s v="P29-S-D1"/>
    <s v="PALF"/>
    <x v="3"/>
    <s v="Congo"/>
    <x v="0"/>
    <x v="0"/>
    <m/>
  </r>
  <r>
    <x v="222"/>
    <s v="Taxi gaia-la frontière,reperage"/>
    <s v="Transport"/>
    <s v="Investigation"/>
    <x v="24"/>
    <x v="678"/>
    <n v="533.50300000000004"/>
    <s v="P29"/>
    <s v="P29-S-D1"/>
    <s v="PALF"/>
    <x v="3"/>
    <s v="Congo"/>
    <x v="0"/>
    <x v="0"/>
    <m/>
  </r>
  <r>
    <x v="222"/>
    <s v="Taxi la frontière-hotel"/>
    <s v="Transport"/>
    <s v="Investigation"/>
    <x v="24"/>
    <x v="678"/>
    <n v="533.50300000000004"/>
    <s v="P29"/>
    <s v="P29-S-D1"/>
    <s v="PALF"/>
    <x v="3"/>
    <s v="Congo"/>
    <x v="0"/>
    <x v="0"/>
    <m/>
  </r>
  <r>
    <x v="222"/>
    <s v="Taxi : hotel - centre ville (repérage lieu OP)"/>
    <s v="Transport"/>
    <s v="Investigation"/>
    <x v="24"/>
    <x v="678"/>
    <n v="533.50300000000004"/>
    <s v="T73"/>
    <s v="T73-S-D1"/>
    <s v="PALF"/>
    <x v="3"/>
    <s v="Congo"/>
    <x v="0"/>
    <x v="0"/>
    <m/>
  </r>
  <r>
    <x v="222"/>
    <s v="Taxi : centre ville - gaya (repérage lieu OP)"/>
    <s v="Transport"/>
    <s v="Investigation"/>
    <x v="24"/>
    <x v="678"/>
    <n v="533.50300000000004"/>
    <s v="T73"/>
    <s v="T73-S-D1"/>
    <s v="PALF"/>
    <x v="3"/>
    <s v="Congo"/>
    <x v="0"/>
    <x v="0"/>
    <m/>
  </r>
  <r>
    <x v="222"/>
    <s v="Taxi : gaya - tsila (repérage lieu OP)"/>
    <s v="Transport"/>
    <s v="Investigation"/>
    <x v="24"/>
    <x v="678"/>
    <n v="533.50300000000004"/>
    <s v="T73"/>
    <s v="T73-S-D1"/>
    <s v="PALF"/>
    <x v="3"/>
    <s v="Congo"/>
    <x v="0"/>
    <x v="0"/>
    <m/>
  </r>
  <r>
    <x v="222"/>
    <s v="Taxi : tsila - hotel (repérage lieu OP)"/>
    <s v="Transport"/>
    <s v="Investigation"/>
    <x v="24"/>
    <x v="678"/>
    <n v="533.50300000000004"/>
    <s v="T73"/>
    <s v="T73-S-D1"/>
    <s v="PALF"/>
    <x v="3"/>
    <s v="Congo"/>
    <x v="0"/>
    <x v="0"/>
    <m/>
  </r>
  <r>
    <x v="222"/>
    <s v="Taxi:Bureau-Agence énergie électrique du Congo"/>
    <s v="Transport"/>
    <s v="Legal"/>
    <x v="24"/>
    <x v="678"/>
    <n v="533.50300000000004"/>
    <s v="Roderlin"/>
    <s v="RO-S-D1"/>
    <s v="PALF"/>
    <x v="3"/>
    <s v="Congo"/>
    <x v="0"/>
    <x v="0"/>
    <m/>
  </r>
  <r>
    <x v="222"/>
    <s v="Taxi:Agence énergie électrique du Congo-Bureau"/>
    <s v="Transport"/>
    <s v="Legal"/>
    <x v="24"/>
    <x v="678"/>
    <n v="533.50300000000004"/>
    <s v="Roderlin"/>
    <s v="RO-S-D1"/>
    <s v="PALF"/>
    <x v="3"/>
    <s v="Congo"/>
    <x v="0"/>
    <x v="0"/>
    <m/>
  </r>
  <r>
    <x v="222"/>
    <s v="Réglement facture électricité periode Juillet-Aôut 2025/bureau PALF"/>
    <s v="Rent &amp; Utilities"/>
    <s v="Office"/>
    <x v="339"/>
    <x v="719"/>
    <n v="533.50300000000004"/>
    <s v="Roderlin"/>
    <s v="CA-S-R12"/>
    <s v="PALF"/>
    <x v="3"/>
    <s v="Congo"/>
    <x v="0"/>
    <x v="0"/>
    <m/>
  </r>
  <r>
    <x v="222"/>
    <s v="Donald-Roméo CONGO Frais d'hôtel/  27 Nuitées du 16/08 au 12/09/2025 à Impfondo (Hôtel  Mithé)"/>
    <s v="Travel Subsistence"/>
    <s v="Legal"/>
    <x v="140"/>
    <x v="720"/>
    <n v="533.50300000000004"/>
    <s v="Donald-Romeo"/>
    <s v="DR-S-R4"/>
    <s v="PALF"/>
    <x v="3"/>
    <s v="Congo"/>
    <x v="0"/>
    <x v="0"/>
    <m/>
  </r>
  <r>
    <x v="222"/>
    <s v="Taxi moto Hôtel Mithé-Agence océan du Nord/ Pour Brazzaville"/>
    <s v="Transport "/>
    <s v="Legal"/>
    <x v="294"/>
    <x v="682"/>
    <n v="533.50300000000004"/>
    <s v="Donald-Romeo"/>
    <s v="DR-S-D1"/>
    <s v="PALF"/>
    <x v="3"/>
    <s v="Congo"/>
    <x v="0"/>
    <x v="0"/>
    <m/>
  </r>
  <r>
    <x v="222"/>
    <s v="Taxi moto agence océan du Nord- Hôtel Paulina/ A Enyellé"/>
    <s v="Transport "/>
    <s v="Legal"/>
    <x v="294"/>
    <x v="682"/>
    <n v="533.50300000000004"/>
    <s v="Donald-Romeo"/>
    <s v="DR-S-D1"/>
    <s v="PALF"/>
    <x v="3"/>
    <s v="Congo"/>
    <x v="0"/>
    <x v="0"/>
    <m/>
  </r>
  <r>
    <x v="223"/>
    <s v="Frais d'hôtel Crépin, 01 Nuitée du 12 au 13/09/2025 à Enyellé"/>
    <s v="Travel Subsistence"/>
    <s v="Legal"/>
    <x v="64"/>
    <x v="703"/>
    <n v="533.50300000000004"/>
    <s v="Crepin"/>
    <s v="CR-S-R8"/>
    <s v="PALF"/>
    <x v="3"/>
    <s v="Congo"/>
    <x v="0"/>
    <x v="0"/>
    <m/>
  </r>
  <r>
    <x v="223"/>
    <s v="Taxi hotel -hotel pola,détails sur reperage lieu op"/>
    <s v="Transport"/>
    <s v="Investigation"/>
    <x v="24"/>
    <x v="678"/>
    <n v="533.50300000000004"/>
    <s v="P29"/>
    <s v="P29-S-D1"/>
    <s v="PALF"/>
    <x v="3"/>
    <s v="Congo"/>
    <x v="0"/>
    <x v="0"/>
    <m/>
  </r>
  <r>
    <x v="223"/>
    <s v="Taxi hotel pola-hotel"/>
    <s v="Transport"/>
    <s v="Investigation"/>
    <x v="24"/>
    <x v="678"/>
    <n v="533.50300000000004"/>
    <s v="P29"/>
    <s v="P29-S-D1"/>
    <s v="PALF"/>
    <x v="3"/>
    <s v="Congo"/>
    <x v="0"/>
    <x v="0"/>
    <m/>
  </r>
  <r>
    <x v="223"/>
    <s v="Taxi hotel -hotel pola,détails sur reperage lieu op"/>
    <s v="Transport"/>
    <s v="Investigation"/>
    <x v="24"/>
    <x v="678"/>
    <n v="533.50300000000004"/>
    <s v="P29"/>
    <s v="P29-S-D1"/>
    <s v="PALF"/>
    <x v="3"/>
    <s v="Congo"/>
    <x v="0"/>
    <x v="0"/>
    <m/>
  </r>
  <r>
    <x v="223"/>
    <s v="Taxi hotel pola-hotel"/>
    <s v="Transport"/>
    <s v="Investigation"/>
    <x v="24"/>
    <x v="678"/>
    <n v="533.50300000000004"/>
    <s v="P29"/>
    <s v="P29-S-D1"/>
    <s v="PALF"/>
    <x v="3"/>
    <s v="Congo"/>
    <x v="0"/>
    <x v="0"/>
    <m/>
  </r>
  <r>
    <x v="223"/>
    <s v="Taxi : hotel pharaon - hotel de P29"/>
    <s v="Transport"/>
    <s v="Investigation"/>
    <x v="24"/>
    <x v="678"/>
    <n v="533.50300000000004"/>
    <s v="T73"/>
    <s v="T73-S-D1"/>
    <s v="PALF"/>
    <x v="3"/>
    <s v="Congo"/>
    <x v="0"/>
    <x v="0"/>
    <m/>
  </r>
  <r>
    <x v="223"/>
    <s v="Taxi : hotel de P29 - hotel pharaon"/>
    <s v="Transport"/>
    <s v="Investigation"/>
    <x v="24"/>
    <x v="678"/>
    <n v="533.50300000000004"/>
    <s v="T73"/>
    <s v="T73-S-D1"/>
    <s v="PALF"/>
    <x v="3"/>
    <s v="Congo"/>
    <x v="0"/>
    <x v="0"/>
    <m/>
  </r>
  <r>
    <x v="223"/>
    <s v="Donald-Roméo CONGO Frais d'hôtel/  01 Nuitée du 12 au 13/09/2025 à Enyellé (Hôtel  Paulina)"/>
    <s v="Travel Subsistence"/>
    <s v="Legal"/>
    <x v="64"/>
    <x v="703"/>
    <n v="533.50300000000004"/>
    <s v="Donald-Romeo"/>
    <s v="DR-S-R5"/>
    <s v="PALF"/>
    <x v="3"/>
    <s v="Congo"/>
    <x v="0"/>
    <x v="0"/>
    <m/>
  </r>
  <r>
    <x v="223"/>
    <s v="Taxi moto  Hôtel Paulina-agence océan du Nord"/>
    <s v="Transport "/>
    <s v="Legal"/>
    <x v="294"/>
    <x v="682"/>
    <n v="533.50300000000004"/>
    <s v="Donald-Romeo"/>
    <s v="DR-S-D1"/>
    <s v="PALF"/>
    <x v="3"/>
    <s v="Congo"/>
    <x v="0"/>
    <x v="0"/>
    <m/>
  </r>
  <r>
    <x v="223"/>
    <s v="Taxi moto agence océan du Nord-Hôtel Baobab"/>
    <s v="Transport "/>
    <s v="Legal"/>
    <x v="294"/>
    <x v="682"/>
    <n v="533.50300000000004"/>
    <s v="Donald-Romeo"/>
    <s v="DR-S-D1"/>
    <s v="PALF"/>
    <x v="3"/>
    <s v="Congo"/>
    <x v="0"/>
    <x v="0"/>
    <m/>
  </r>
  <r>
    <x v="224"/>
    <s v="Frais d'hôtel Crépin, 01 Nuitée du 13 au 14/09/2025 à Gamboma"/>
    <s v="Travel Subsistence"/>
    <s v="Legal"/>
    <x v="64"/>
    <x v="703"/>
    <n v="533.50300000000004"/>
    <s v="Crepin"/>
    <s v="CR-S-R9"/>
    <s v="PALF"/>
    <x v="3"/>
    <s v="Congo"/>
    <x v="0"/>
    <x v="0"/>
    <m/>
  </r>
  <r>
    <x v="224"/>
    <s v="Taxi: Agence Océan de Talangai liberté-Camp militaire Mfilou"/>
    <s v="Transport"/>
    <s v="Legal"/>
    <x v="306"/>
    <x v="721"/>
    <n v="533.50300000000004"/>
    <s v="Crepin"/>
    <s v="CR-S-D1"/>
    <s v="PALF"/>
    <x v="3"/>
    <s v="Congo"/>
    <x v="0"/>
    <x v="0"/>
    <m/>
  </r>
  <r>
    <x v="224"/>
    <s v="Taxi hotel -hotel pola,détails sur reperage lieu op"/>
    <s v="Transport"/>
    <s v="Investigation"/>
    <x v="24"/>
    <x v="678"/>
    <n v="533.50300000000004"/>
    <s v="P29"/>
    <s v="P29-S-D1"/>
    <s v="PALF"/>
    <x v="3"/>
    <s v="Congo"/>
    <x v="0"/>
    <x v="0"/>
    <m/>
  </r>
  <r>
    <x v="224"/>
    <s v="Taxi hotel pola-hotel"/>
    <s v="Transport"/>
    <s v="Investigation"/>
    <x v="24"/>
    <x v="678"/>
    <n v="533.50300000000004"/>
    <s v="P29"/>
    <s v="P29-S-D1"/>
    <s v="PALF"/>
    <x v="3"/>
    <s v="Congo"/>
    <x v="0"/>
    <x v="0"/>
    <m/>
  </r>
  <r>
    <x v="224"/>
    <s v="Taxi hotel -hotel pola,détails sur reperage lieu op"/>
    <s v="Transport"/>
    <s v="Investigation"/>
    <x v="24"/>
    <x v="678"/>
    <n v="533.50300000000004"/>
    <s v="P29"/>
    <s v="P29-S-D1"/>
    <s v="PALF"/>
    <x v="3"/>
    <s v="Congo"/>
    <x v="0"/>
    <x v="0"/>
    <m/>
  </r>
  <r>
    <x v="224"/>
    <s v="Taxi hotel pola-hotel"/>
    <s v="Transport"/>
    <s v="Investigation"/>
    <x v="24"/>
    <x v="678"/>
    <n v="533.50300000000004"/>
    <s v="P29"/>
    <s v="P29-S-D1"/>
    <s v="PALF"/>
    <x v="3"/>
    <s v="Congo"/>
    <x v="0"/>
    <x v="0"/>
    <m/>
  </r>
  <r>
    <x v="224"/>
    <s v="Taxi : hotel pharaon - mont fleury ( reperage)"/>
    <s v="Transport"/>
    <s v="Investigation"/>
    <x v="24"/>
    <x v="678"/>
    <n v="533.50300000000004"/>
    <s v="T73"/>
    <s v="T73-S-D1"/>
    <s v="PALF"/>
    <x v="3"/>
    <s v="Congo"/>
    <x v="0"/>
    <x v="0"/>
    <m/>
  </r>
  <r>
    <x v="224"/>
    <s v="Taxi : mont fleury - bas fleury ( reperage)"/>
    <s v="Transport"/>
    <s v="Investigation"/>
    <x v="24"/>
    <x v="678"/>
    <n v="533.50300000000004"/>
    <s v="T73"/>
    <s v="T73-S-D1"/>
    <s v="PALF"/>
    <x v="3"/>
    <s v="Congo"/>
    <x v="0"/>
    <x v="0"/>
    <m/>
  </r>
  <r>
    <x v="224"/>
    <s v="Taxi : bas fleury - centre ville ( reperage)"/>
    <s v="Transport"/>
    <s v="Investigation"/>
    <x v="24"/>
    <x v="678"/>
    <n v="533.50300000000004"/>
    <s v="T73"/>
    <s v="T73-S-D1"/>
    <s v="PALF"/>
    <x v="3"/>
    <s v="Congo"/>
    <x v="0"/>
    <x v="0"/>
    <m/>
  </r>
  <r>
    <x v="224"/>
    <s v="Taxi : centre ville - zone charden farel ( reperage)"/>
    <s v="Transport"/>
    <s v="Investigation"/>
    <x v="24"/>
    <x v="678"/>
    <n v="533.50300000000004"/>
    <s v="T73"/>
    <s v="T73-S-D1"/>
    <s v="PALF"/>
    <x v="3"/>
    <s v="Congo"/>
    <x v="0"/>
    <x v="0"/>
    <m/>
  </r>
  <r>
    <x v="224"/>
    <s v="Taxi : zone charden farel - tsila ( reperage)"/>
    <s v="Transport"/>
    <s v="Investigation"/>
    <x v="24"/>
    <x v="678"/>
    <n v="533.50300000000004"/>
    <s v="T73"/>
    <s v="T73-S-D1"/>
    <s v="PALF"/>
    <x v="3"/>
    <s v="Congo"/>
    <x v="0"/>
    <x v="0"/>
    <m/>
  </r>
  <r>
    <x v="224"/>
    <s v="Taxi : tsila - centre ville ( reperage)"/>
    <s v="Transport"/>
    <s v="Investigation"/>
    <x v="24"/>
    <x v="678"/>
    <n v="533.50300000000004"/>
    <s v="T73"/>
    <s v="T73-S-D1"/>
    <s v="PALF"/>
    <x v="3"/>
    <s v="Congo"/>
    <x v="0"/>
    <x v="0"/>
    <m/>
  </r>
  <r>
    <x v="224"/>
    <s v="Taxi : centre ville - hotel ( reperage)"/>
    <s v="Transport"/>
    <s v="Investigation"/>
    <x v="24"/>
    <x v="678"/>
    <n v="533.50300000000004"/>
    <s v="T73"/>
    <s v="T73-S-D1"/>
    <s v="PALF"/>
    <x v="3"/>
    <s v="Congo"/>
    <x v="0"/>
    <x v="0"/>
    <m/>
  </r>
  <r>
    <x v="224"/>
    <s v="Donald-Roméo CONGO Frais d'hôtel/  01 Nuitée du 13 au 14/09/2025 à Gamboma (Hôtel  Baobab)"/>
    <s v="Travel Subsistence"/>
    <s v="Legal"/>
    <x v="64"/>
    <x v="703"/>
    <n v="533.50300000000004"/>
    <s v="Donald-Romeo"/>
    <s v="DR-S-R6"/>
    <s v="PALF"/>
    <x v="3"/>
    <s v="Congo"/>
    <x v="0"/>
    <x v="0"/>
    <m/>
  </r>
  <r>
    <x v="224"/>
    <s v="Taxi moto Hôtel Baobad-Agence Océan du Nord de Gamboma/ Pour Brazzaville"/>
    <s v="Transport "/>
    <s v="Legal"/>
    <x v="294"/>
    <x v="682"/>
    <n v="533.50300000000004"/>
    <s v="Donald-Romeo"/>
    <s v="DR-S-D1"/>
    <s v="PALF"/>
    <x v="3"/>
    <s v="Congo"/>
    <x v="0"/>
    <x v="0"/>
    <m/>
  </r>
  <r>
    <x v="224"/>
    <s v="Taxi Agence Ocean du Nord de Talangaï- Domicile"/>
    <s v="Transport "/>
    <s v="Legal"/>
    <x v="75"/>
    <x v="694"/>
    <n v="533.50300000000004"/>
    <s v="Donald-Romeo"/>
    <s v="DR-S-D1"/>
    <s v="PALF"/>
    <x v="3"/>
    <s v="Congo"/>
    <x v="0"/>
    <x v="0"/>
    <m/>
  </r>
  <r>
    <x v="225"/>
    <s v="Maison-Bureau"/>
    <s v="Transport"/>
    <s v="Management"/>
    <x v="24"/>
    <x v="678"/>
    <n v="533.50300000000004"/>
    <s v="DOVI"/>
    <s v="DH-S-D1"/>
    <s v="PALF"/>
    <x v="3"/>
    <s v="Congo"/>
    <x v="0"/>
    <x v="0"/>
    <m/>
  </r>
  <r>
    <x v="225"/>
    <s v="Bureau-Maison"/>
    <s v="Transport"/>
    <s v="Management"/>
    <x v="24"/>
    <x v="678"/>
    <n v="533.50300000000004"/>
    <s v="DOVI"/>
    <s v="DH-S-D1"/>
    <s v="PALF"/>
    <x v="3"/>
    <s v="Congo"/>
    <x v="0"/>
    <x v="0"/>
    <m/>
  </r>
  <r>
    <x v="225"/>
    <s v="Taxi hotel-bacongo,reperage"/>
    <s v="Transport"/>
    <s v="Investigation"/>
    <x v="24"/>
    <x v="678"/>
    <n v="533.50300000000004"/>
    <s v="P29"/>
    <s v="P29-S-D1"/>
    <s v="PALF"/>
    <x v="3"/>
    <s v="Congo"/>
    <x v="0"/>
    <x v="0"/>
    <m/>
  </r>
  <r>
    <x v="225"/>
    <s v="Taxi bacongo-mbougou,reperage"/>
    <s v="Transport"/>
    <s v="Investigation"/>
    <x v="24"/>
    <x v="678"/>
    <n v="533.50300000000004"/>
    <s v="P29"/>
    <s v="P29-S-D1"/>
    <s v="PALF"/>
    <x v="3"/>
    <s v="Congo"/>
    <x v="0"/>
    <x v="0"/>
    <m/>
  </r>
  <r>
    <x v="225"/>
    <s v="Taxi mboukou-aeroport,reperage"/>
    <s v="Transport"/>
    <s v="Investigation"/>
    <x v="24"/>
    <x v="678"/>
    <n v="533.50300000000004"/>
    <s v="P29"/>
    <s v="P29-S-D1"/>
    <s v="PALF"/>
    <x v="3"/>
    <s v="Congo"/>
    <x v="0"/>
    <x v="0"/>
    <m/>
  </r>
  <r>
    <x v="225"/>
    <s v="Taxi aeroport-cf,retrait des fonds"/>
    <s v="Transport"/>
    <s v="Investigation"/>
    <x v="24"/>
    <x v="678"/>
    <n v="533.50300000000004"/>
    <s v="P29"/>
    <s v="P29-S-D1"/>
    <s v="PALF"/>
    <x v="3"/>
    <s v="Congo"/>
    <x v="0"/>
    <x v="0"/>
    <m/>
  </r>
  <r>
    <x v="225"/>
    <s v="Taxi cf-gaia,reperage"/>
    <s v="Transport"/>
    <s v="Investigation"/>
    <x v="24"/>
    <x v="678"/>
    <n v="533.50300000000004"/>
    <s v="P29"/>
    <s v="P29-S-D1"/>
    <s v="PALF"/>
    <x v="3"/>
    <s v="Congo"/>
    <x v="0"/>
    <x v="0"/>
    <m/>
  </r>
  <r>
    <x v="225"/>
    <s v="Taxi gaia-hotel,reperage"/>
    <s v="Transport"/>
    <s v="Investigation"/>
    <x v="24"/>
    <x v="678"/>
    <n v="533.50300000000004"/>
    <s v="P29"/>
    <s v="P29-S-D1"/>
    <s v="PALF"/>
    <x v="3"/>
    <s v="Congo"/>
    <x v="0"/>
    <x v="0"/>
    <m/>
  </r>
  <r>
    <x v="225"/>
    <s v="Taxi : hotel - lissanga (reperage)"/>
    <s v="Transport"/>
    <s v="Investigation"/>
    <x v="24"/>
    <x v="678"/>
    <n v="533.50300000000004"/>
    <s v="T73"/>
    <s v="T73-S-D1"/>
    <s v="PALF"/>
    <x v="3"/>
    <s v="Congo"/>
    <x v="0"/>
    <x v="0"/>
    <m/>
  </r>
  <r>
    <x v="225"/>
    <s v="Taxi : lissanga - bacongo (repérage)"/>
    <s v="Transport"/>
    <s v="Investigation"/>
    <x v="24"/>
    <x v="678"/>
    <n v="533.50300000000004"/>
    <s v="T73"/>
    <s v="T73-S-D1"/>
    <s v="PALF"/>
    <x v="3"/>
    <s v="Congo"/>
    <x v="0"/>
    <x v="0"/>
    <m/>
  </r>
  <r>
    <x v="225"/>
    <s v="Taxi : bacongo - gare routiere (réperage)"/>
    <s v="Transport"/>
    <s v="Investigation"/>
    <x v="24"/>
    <x v="678"/>
    <n v="533.50300000000004"/>
    <s v="T73"/>
    <s v="T73-S-D1"/>
    <s v="PALF"/>
    <x v="3"/>
    <s v="Congo"/>
    <x v="0"/>
    <x v="0"/>
    <m/>
  </r>
  <r>
    <x v="225"/>
    <s v="Taxi : gare routiere - gaya(reperage)"/>
    <s v="Transport"/>
    <s v="Investigation"/>
    <x v="24"/>
    <x v="678"/>
    <n v="533.50300000000004"/>
    <s v="T73"/>
    <s v="T73-S-D1"/>
    <s v="PALF"/>
    <x v="3"/>
    <s v="Congo"/>
    <x v="0"/>
    <x v="0"/>
    <m/>
  </r>
  <r>
    <x v="225"/>
    <s v="Taxi : gaya - charden farel (recuperer fond)"/>
    <s v="Transport"/>
    <s v="Investigation"/>
    <x v="24"/>
    <x v="678"/>
    <n v="533.50300000000004"/>
    <s v="T73"/>
    <s v="T73-S-D1"/>
    <s v="PALF"/>
    <x v="3"/>
    <s v="Congo"/>
    <x v="0"/>
    <x v="0"/>
    <m/>
  </r>
  <r>
    <x v="225"/>
    <s v="Taxi : charden farel - hotel (reperage)"/>
    <s v="Transport"/>
    <s v="Investigation"/>
    <x v="24"/>
    <x v="678"/>
    <n v="533.50300000000004"/>
    <s v="T73"/>
    <s v="T73-S-D1"/>
    <s v="PALF"/>
    <x v="3"/>
    <s v="Congo"/>
    <x v="0"/>
    <x v="0"/>
    <m/>
  </r>
  <r>
    <x v="225"/>
    <s v="Taxi: Bureau-Charden Farell/Transfert de fonds"/>
    <s v="Transport"/>
    <s v="Legal"/>
    <x v="294"/>
    <x v="682"/>
    <n v="533.50300000000004"/>
    <s v="Abraham"/>
    <s v="AB-S-D1"/>
    <s v="PALF"/>
    <x v="3"/>
    <s v="Congo"/>
    <x v="0"/>
    <x v="0"/>
    <m/>
  </r>
  <r>
    <x v="225"/>
    <s v="Taxi: Charden Farel-Bureau"/>
    <s v="Transport"/>
    <s v="Legal"/>
    <x v="294"/>
    <x v="682"/>
    <n v="533.50300000000004"/>
    <s v="Abraham"/>
    <s v="AB-S-D1"/>
    <s v="PALF"/>
    <x v="3"/>
    <s v="Congo"/>
    <x v="0"/>
    <x v="0"/>
    <m/>
  </r>
  <r>
    <x v="225"/>
    <s v="Frais de tansfert d'argent à T73 et P29"/>
    <s v="Transfert fees"/>
    <s v="Office"/>
    <x v="340"/>
    <x v="722"/>
    <n v="533.50300000000004"/>
    <s v="Abraham"/>
    <s v="CA-S-R13"/>
    <s v="PALF"/>
    <x v="3"/>
    <s v="Congo"/>
    <x v="0"/>
    <x v="0"/>
    <m/>
  </r>
  <r>
    <x v="226"/>
    <s v="Maison-Bureau"/>
    <s v="Transport"/>
    <s v="Management"/>
    <x v="24"/>
    <x v="678"/>
    <n v="533.50300000000004"/>
    <s v="DOVI"/>
    <s v="DH-S-D1"/>
    <s v="PALF"/>
    <x v="3"/>
    <s v="Congo"/>
    <x v="0"/>
    <x v="0"/>
    <m/>
  </r>
  <r>
    <x v="226"/>
    <s v="Bureau-Maison"/>
    <s v="Transport"/>
    <s v="Management"/>
    <x v="24"/>
    <x v="678"/>
    <n v="533.50300000000004"/>
    <s v="DOVI"/>
    <s v="DH-S-D1"/>
    <s v="PALF"/>
    <x v="3"/>
    <s v="Congo"/>
    <x v="0"/>
    <x v="0"/>
    <m/>
  </r>
  <r>
    <x v="226"/>
    <s v="Taxi: Domicile-Bureau pour signature des pièces comptables après l'appel de la comptable (Jour de recupération)."/>
    <s v="Transport"/>
    <s v="Legal"/>
    <x v="120"/>
    <x v="702"/>
    <n v="533.50300000000004"/>
    <s v="Crepin"/>
    <s v="CR-S-D1"/>
    <s v="PALF"/>
    <x v="3"/>
    <s v="Congo"/>
    <x v="0"/>
    <x v="0"/>
    <m/>
  </r>
  <r>
    <x v="226"/>
    <s v="Taxi: Bureau-Domicile"/>
    <s v="Transport"/>
    <s v="Legal"/>
    <x v="120"/>
    <x v="702"/>
    <n v="533.50300000000004"/>
    <s v="Crepin"/>
    <s v="CR-S-D1"/>
    <s v="PALF"/>
    <x v="3"/>
    <s v="Congo"/>
    <x v="0"/>
    <x v="0"/>
    <m/>
  </r>
  <r>
    <x v="226"/>
    <s v="Taxi:  Bureau-Banque BCI/ Retrait espèce"/>
    <s v="Transport"/>
    <s v="Office"/>
    <x v="24"/>
    <x v="678"/>
    <n v="533.50300000000004"/>
    <s v="Parfaite"/>
    <s v="P-S-D1"/>
    <s v="PALF"/>
    <x v="3"/>
    <s v="Congo"/>
    <x v="0"/>
    <x v="0"/>
    <m/>
  </r>
  <r>
    <x v="226"/>
    <s v="Taxi:  Banque BCI - Bureau"/>
    <s v="Transport"/>
    <s v="Office"/>
    <x v="24"/>
    <x v="678"/>
    <n v="533.50300000000004"/>
    <s v="Parfaite"/>
    <s v="P-S-D1"/>
    <s v="PALF"/>
    <x v="3"/>
    <s v="Congo"/>
    <x v="0"/>
    <x v="0"/>
    <m/>
  </r>
  <r>
    <x v="226"/>
    <s v="Taxi hotel-sab,reperage"/>
    <s v="Transport"/>
    <s v="Investigation"/>
    <x v="24"/>
    <x v="678"/>
    <n v="533.50300000000004"/>
    <s v="P29"/>
    <s v="P29-S-D1"/>
    <s v="PALF"/>
    <x v="3"/>
    <s v="Congo"/>
    <x v="0"/>
    <x v="0"/>
    <m/>
  </r>
  <r>
    <x v="226"/>
    <s v="Taxi sab-capable,reperage"/>
    <s v="Transport"/>
    <s v="Investigation"/>
    <x v="24"/>
    <x v="678"/>
    <n v="533.50300000000004"/>
    <s v="P29"/>
    <s v="P29-S-D1"/>
    <s v="PALF"/>
    <x v="3"/>
    <s v="Congo"/>
    <x v="0"/>
    <x v="0"/>
    <m/>
  </r>
  <r>
    <x v="226"/>
    <s v="Taxi capable-la frontière,reperage"/>
    <s v="Transport"/>
    <s v="Investigation"/>
    <x v="24"/>
    <x v="678"/>
    <n v="533.50300000000004"/>
    <s v="P29"/>
    <s v="P29-S-D1"/>
    <s v="PALF"/>
    <x v="3"/>
    <s v="Congo"/>
    <x v="0"/>
    <x v="0"/>
    <m/>
  </r>
  <r>
    <x v="226"/>
    <s v="Taxi la frontière-hotel,envoi 3 docs à la cordination"/>
    <s v="Transport"/>
    <s v="Investigation"/>
    <x v="24"/>
    <x v="678"/>
    <n v="533.50300000000004"/>
    <s v="P29"/>
    <s v="P29-S-D1"/>
    <s v="PALF"/>
    <x v="3"/>
    <s v="Congo"/>
    <x v="0"/>
    <x v="0"/>
    <m/>
  </r>
  <r>
    <x v="226"/>
    <s v="Taxi hotel-la frontière,rsuite reperage"/>
    <s v="Transport"/>
    <s v="Investigation"/>
    <x v="24"/>
    <x v="678"/>
    <n v="533.50300000000004"/>
    <s v="P29"/>
    <s v="P29-S-D1"/>
    <s v="PALF"/>
    <x v="3"/>
    <s v="Congo"/>
    <x v="0"/>
    <x v="0"/>
    <m/>
  </r>
  <r>
    <x v="226"/>
    <s v="Taxi la frontière-tsila,reperage"/>
    <s v="Transport"/>
    <s v="Investigation"/>
    <x v="24"/>
    <x v="678"/>
    <n v="533.50300000000004"/>
    <s v="P29"/>
    <s v="P29-S-D1"/>
    <s v="PALF"/>
    <x v="3"/>
    <s v="Congo"/>
    <x v="0"/>
    <x v="0"/>
    <m/>
  </r>
  <r>
    <x v="226"/>
    <s v="Taxi tsila-mont fleury,reperage"/>
    <s v="Transport"/>
    <s v="Investigation"/>
    <x v="24"/>
    <x v="678"/>
    <n v="533.50300000000004"/>
    <s v="P29"/>
    <s v="P29-S-D1"/>
    <s v="PALF"/>
    <x v="3"/>
    <s v="Congo"/>
    <x v="0"/>
    <x v="0"/>
    <m/>
  </r>
  <r>
    <x v="226"/>
    <s v="Taxi mon fleury-hotel"/>
    <s v="Transport"/>
    <s v="Investigation"/>
    <x v="24"/>
    <x v="678"/>
    <n v="533.50300000000004"/>
    <s v="P29"/>
    <s v="P29-S-D1"/>
    <s v="PALF"/>
    <x v="3"/>
    <s v="Congo"/>
    <x v="0"/>
    <x v="0"/>
    <m/>
  </r>
  <r>
    <x v="226"/>
    <s v="Taxi : hotel - zone gare routière ( reperage)"/>
    <s v="Transport"/>
    <s v="Investigation"/>
    <x v="24"/>
    <x v="678"/>
    <n v="533.50300000000004"/>
    <s v="T73"/>
    <s v="T73-S-D1"/>
    <s v="PALF"/>
    <x v="3"/>
    <s v="Congo"/>
    <x v="0"/>
    <x v="0"/>
    <m/>
  </r>
  <r>
    <x v="226"/>
    <s v="Taxi : zone gare routière - centre ville ( reperage)"/>
    <s v="Transport"/>
    <s v="Investigation"/>
    <x v="24"/>
    <x v="678"/>
    <n v="533.50300000000004"/>
    <s v="T73"/>
    <s v="T73-S-D1"/>
    <s v="PALF"/>
    <x v="3"/>
    <s v="Congo"/>
    <x v="0"/>
    <x v="0"/>
    <m/>
  </r>
  <r>
    <x v="226"/>
    <s v="Taxi : centre ville - quartier mangadzi ( reperage)"/>
    <s v="Transport"/>
    <s v="Investigation"/>
    <x v="24"/>
    <x v="678"/>
    <n v="533.50300000000004"/>
    <s v="T73"/>
    <s v="T73-S-D1"/>
    <s v="PALF"/>
    <x v="3"/>
    <s v="Congo"/>
    <x v="0"/>
    <x v="0"/>
    <m/>
  </r>
  <r>
    <x v="226"/>
    <s v="Taxi : centre ville - quartier mangadzi ( reperage)"/>
    <s v="Transport"/>
    <s v="Investigation"/>
    <x v="24"/>
    <x v="678"/>
    <n v="533.50300000000004"/>
    <s v="T73"/>
    <s v="T73-S-D1"/>
    <s v="PALF"/>
    <x v="3"/>
    <s v="Congo"/>
    <x v="0"/>
    <x v="0"/>
    <m/>
  </r>
  <r>
    <x v="226"/>
    <s v="Taxi : quartier mangadzi - lissanga ( reperage)"/>
    <s v="Transport"/>
    <s v="Investigation"/>
    <x v="24"/>
    <x v="678"/>
    <n v="533.50300000000004"/>
    <s v="T73"/>
    <s v="T73-S-D1"/>
    <s v="PALF"/>
    <x v="3"/>
    <s v="Congo"/>
    <x v="0"/>
    <x v="0"/>
    <m/>
  </r>
  <r>
    <x v="226"/>
    <s v="Taxi : lissanga - hotel ( reperage)"/>
    <s v="Transport"/>
    <s v="Investigation"/>
    <x v="24"/>
    <x v="678"/>
    <n v="533.50300000000004"/>
    <s v="T73"/>
    <s v="T73-S-D1"/>
    <s v="PALF"/>
    <x v="3"/>
    <s v="Congo"/>
    <x v="0"/>
    <x v="0"/>
    <m/>
  </r>
  <r>
    <x v="226"/>
    <s v="Taxi : Domicile - Moungali/ Prospection"/>
    <s v="Transport"/>
    <s v="Investigation"/>
    <x v="75"/>
    <x v="694"/>
    <n v="533.50300000000004"/>
    <s v="IT87"/>
    <s v="IT87-S-D1"/>
    <s v="PALF"/>
    <x v="3"/>
    <s v="Congo"/>
    <x v="0"/>
    <x v="0"/>
    <m/>
  </r>
  <r>
    <x v="226"/>
    <s v="Taxi : Moungali - Poudrière/ Prospection"/>
    <s v="Transport"/>
    <s v="Investigation"/>
    <x v="120"/>
    <x v="702"/>
    <n v="533.50300000000004"/>
    <s v="IT87"/>
    <s v="IT87-S-D1"/>
    <s v="PALF"/>
    <x v="3"/>
    <s v="Congo"/>
    <x v="0"/>
    <x v="0"/>
    <m/>
  </r>
  <r>
    <x v="226"/>
    <s v="Taxi : Poudrière - Maëté/ Prospection"/>
    <s v="Transport"/>
    <s v="Investigation"/>
    <x v="120"/>
    <x v="702"/>
    <n v="533.50300000000004"/>
    <s v="IT87"/>
    <s v="IT87-S-D1"/>
    <s v="PALF"/>
    <x v="3"/>
    <s v="Congo"/>
    <x v="0"/>
    <x v="0"/>
    <m/>
  </r>
  <r>
    <x v="226"/>
    <s v="Taxi : Maëté - Domicile/ Retour de prospection"/>
    <s v="Transport"/>
    <s v="Investigation"/>
    <x v="70"/>
    <x v="697"/>
    <n v="533.50300000000004"/>
    <s v="IT87"/>
    <s v="IT87-S-D1"/>
    <s v="PALF"/>
    <x v="3"/>
    <s v="Congo"/>
    <x v="0"/>
    <x v="0"/>
    <m/>
  </r>
  <r>
    <x v="226"/>
    <s v="Taxi:   Domicile - Château d'eau / prospection"/>
    <s v="Transport"/>
    <s v="Investigation"/>
    <x v="24"/>
    <x v="678"/>
    <n v="533.50300000000004"/>
    <s v="G12"/>
    <s v="G12-S-D1"/>
    <s v="PALF"/>
    <x v="3"/>
    <s v="Congo"/>
    <x v="0"/>
    <x v="0"/>
    <m/>
  </r>
  <r>
    <x v="226"/>
    <s v="Taxi : Château d'eau - kisoundi/ prospection"/>
    <s v="Transport"/>
    <s v="Investigation"/>
    <x v="24"/>
    <x v="678"/>
    <n v="533.50300000000004"/>
    <s v="G12"/>
    <s v="G12-S-D1"/>
    <s v="PALF"/>
    <x v="3"/>
    <s v="Congo"/>
    <x v="0"/>
    <x v="0"/>
    <m/>
  </r>
  <r>
    <x v="226"/>
    <s v="Taxi : Kisoundi -domicile"/>
    <s v="Transport"/>
    <s v="Investigation"/>
    <x v="24"/>
    <x v="678"/>
    <n v="533.50300000000004"/>
    <s v="G12"/>
    <s v="G12-S-D1"/>
    <s v="PALF"/>
    <x v="3"/>
    <s v="Congo"/>
    <x v="0"/>
    <x v="0"/>
    <m/>
  </r>
  <r>
    <x v="226"/>
    <s v="Taxi: Bureau-Cabinet Maitre BANZOUZI"/>
    <s v="Transport"/>
    <s v="Legal"/>
    <x v="120"/>
    <x v="702"/>
    <n v="533.50300000000004"/>
    <s v="Romain"/>
    <s v="RM-S-D1"/>
    <s v="PALF"/>
    <x v="3"/>
    <s v="Congo"/>
    <x v="0"/>
    <x v="0"/>
    <m/>
  </r>
  <r>
    <x v="226"/>
    <s v="Taxi:Cabinet de Maitre BANZOUZI-Bureau"/>
    <s v="Transport"/>
    <s v="Legal"/>
    <x v="101"/>
    <x v="723"/>
    <n v="533.50300000000004"/>
    <s v="Romain"/>
    <s v="RM-S-D1"/>
    <s v="PALF"/>
    <x v="3"/>
    <s v="Congo"/>
    <x v="0"/>
    <x v="0"/>
    <m/>
  </r>
  <r>
    <x v="226"/>
    <s v="Acompte honoraire contrat N°85 Impfondo cas MOUKOA Clarisse/Maitre  Alain BAZOUNZI/ 3654434"/>
    <s v="Lawyer Fees"/>
    <s v="Legal"/>
    <x v="58"/>
    <x v="622"/>
    <n v="560.94200000000001"/>
    <s v="BCI"/>
    <s v="BQ-S-R5"/>
    <s v="PALF"/>
    <x v="5"/>
    <s v="Congo"/>
    <x v="0"/>
    <x v="0"/>
    <m/>
  </r>
  <r>
    <x v="227"/>
    <s v="Maison-Parc Zoologique (rendez vous avec le nouveau avec DGEF)"/>
    <s v="Transport"/>
    <s v="Management"/>
    <x v="24"/>
    <x v="678"/>
    <n v="533.50300000000004"/>
    <s v="DOVI"/>
    <s v="DH-S-D1"/>
    <s v="PALF"/>
    <x v="3"/>
    <s v="Congo"/>
    <x v="0"/>
    <x v="0"/>
    <m/>
  </r>
  <r>
    <x v="227"/>
    <s v="Parc Zoologique - Bureau"/>
    <s v="Transport"/>
    <s v="Management"/>
    <x v="24"/>
    <x v="678"/>
    <n v="533.50300000000004"/>
    <s v="DOVI"/>
    <s v="DH-S-D1"/>
    <s v="PALF"/>
    <x v="3"/>
    <s v="Congo"/>
    <x v="0"/>
    <x v="0"/>
    <m/>
  </r>
  <r>
    <x v="227"/>
    <s v="Credit telephonique MTN/PALF/ du 15 au 21 Septembre 2025/DOVI"/>
    <s v="Telephone"/>
    <s v="Management"/>
    <x v="48"/>
    <x v="679"/>
    <n v="533.50300000000004"/>
    <s v="DOVI"/>
    <s v="DH-S-R4"/>
    <s v="PALF"/>
    <x v="3"/>
    <s v="Congo"/>
    <x v="0"/>
    <x v="0"/>
    <m/>
  </r>
  <r>
    <x v="227"/>
    <s v="Bureau - Maison"/>
    <s v="Transport"/>
    <s v="Management"/>
    <x v="24"/>
    <x v="678"/>
    <n v="533.50300000000004"/>
    <s v="DOVI"/>
    <s v="DH-S-D1"/>
    <s v="PALF"/>
    <x v="3"/>
    <s v="Congo"/>
    <x v="0"/>
    <x v="0"/>
    <m/>
  </r>
  <r>
    <x v="227"/>
    <s v="Credit telephonique MTN PALF/du 17 au 21 septembre 2025/ crepin"/>
    <s v="Telephone"/>
    <s v="Legal"/>
    <x v="4"/>
    <x v="681"/>
    <n v="533.50300000000004"/>
    <s v="Crepin"/>
    <s v="CR-S-R10"/>
    <s v="PALF"/>
    <x v="3"/>
    <s v="Congo"/>
    <x v="0"/>
    <x v="0"/>
    <m/>
  </r>
  <r>
    <x v="227"/>
    <s v="Bonus opération du 25/08/2025 à Impfondo/Crépin"/>
    <s v="Bonus"/>
    <s v="Operation"/>
    <x v="29"/>
    <x v="657"/>
    <n v="560.94200000000001"/>
    <s v="Crepin"/>
    <s v="CA-S-D5"/>
    <s v="PALF"/>
    <x v="5"/>
    <s v="Congo"/>
    <x v="0"/>
    <x v="0"/>
    <m/>
  </r>
  <r>
    <x v="227"/>
    <s v="Taxi:Bureau - Direction MTN / Achat crédit bureau PALF"/>
    <s v="Transport"/>
    <s v="Office"/>
    <x v="24"/>
    <x v="678"/>
    <n v="533.50300000000004"/>
    <s v="Parfaite"/>
    <s v="P-S-D1"/>
    <s v="PALF"/>
    <x v="3"/>
    <s v="Congo"/>
    <x v="0"/>
    <x v="0"/>
    <m/>
  </r>
  <r>
    <x v="227"/>
    <s v="Taxi: Direction MTN-Bureau/"/>
    <s v="Transport"/>
    <s v="Office"/>
    <x v="24"/>
    <x v="678"/>
    <n v="533.50300000000004"/>
    <s v="Parfaite"/>
    <s v="P-S-D1"/>
    <s v="PALF"/>
    <x v="3"/>
    <s v="Congo"/>
    <x v="0"/>
    <x v="0"/>
    <m/>
  </r>
  <r>
    <x v="227"/>
    <s v="Credit teléphonique MTN PALF/ du 15 au 21 septembre 2025/ Parfaite"/>
    <s v="Telephone"/>
    <s v="Management"/>
    <x v="55"/>
    <x v="709"/>
    <n v="533.50300000000004"/>
    <s v="Parfaite"/>
    <s v="P-S-R3"/>
    <s v="PALF"/>
    <x v="3"/>
    <s v="Congo"/>
    <x v="0"/>
    <x v="0"/>
    <m/>
  </r>
  <r>
    <x v="227"/>
    <s v="Taxi hotel-mon fleury,reperage"/>
    <s v="Transport"/>
    <s v="Investigation"/>
    <x v="24"/>
    <x v="678"/>
    <n v="533.50300000000004"/>
    <s v="P29"/>
    <s v="P29-S-D1"/>
    <s v="PALF"/>
    <x v="3"/>
    <s v="Congo"/>
    <x v="0"/>
    <x v="0"/>
    <m/>
  </r>
  <r>
    <x v="227"/>
    <s v="Taxi hotel-mboukou,reperage"/>
    <s v="Transport"/>
    <s v="Investigation"/>
    <x v="24"/>
    <x v="678"/>
    <n v="533.50300000000004"/>
    <s v="P29"/>
    <s v="P29-S-D1"/>
    <s v="PALF"/>
    <x v="3"/>
    <s v="Congo"/>
    <x v="0"/>
    <x v="0"/>
    <m/>
  </r>
  <r>
    <x v="227"/>
    <s v="Taxi mboukou-hotel,faire le bugdet"/>
    <s v="Transport"/>
    <s v="Investigation"/>
    <x v="24"/>
    <x v="678"/>
    <n v="533.50300000000004"/>
    <s v="P29"/>
    <s v="P29-S-D1"/>
    <s v="PALF"/>
    <x v="3"/>
    <s v="Congo"/>
    <x v="0"/>
    <x v="0"/>
    <m/>
  </r>
  <r>
    <x v="227"/>
    <s v="Taxi hotel-mboukou,reperage"/>
    <s v="Transport"/>
    <s v="Investigation"/>
    <x v="24"/>
    <x v="678"/>
    <n v="533.50300000000004"/>
    <s v="P29"/>
    <s v="P29-S-D1"/>
    <s v="PALF"/>
    <x v="3"/>
    <s v="Congo"/>
    <x v="0"/>
    <x v="0"/>
    <m/>
  </r>
  <r>
    <x v="227"/>
    <s v="Taxi mboukou-hotel"/>
    <s v="Transport"/>
    <s v="Investigation"/>
    <x v="24"/>
    <x v="678"/>
    <n v="533.50300000000004"/>
    <s v="P29"/>
    <s v="P29-S-D1"/>
    <s v="PALF"/>
    <x v="3"/>
    <s v="Congo"/>
    <x v="0"/>
    <x v="0"/>
    <m/>
  </r>
  <r>
    <x v="227"/>
    <s v="Achat boisson,pour prendre détails reperage, avec un cible"/>
    <s v="Trust Building"/>
    <s v="Investigation"/>
    <x v="24"/>
    <x v="678"/>
    <n v="533.50300000000004"/>
    <s v="P29"/>
    <s v="P29-S-D3"/>
    <s v="PALF"/>
    <x v="3"/>
    <s v="Congo"/>
    <x v="0"/>
    <x v="0"/>
    <m/>
  </r>
  <r>
    <x v="227"/>
    <s v="Credit telephonique MTN PALF/ du 15 au 21 Septembre 2025/ Investigation/P29"/>
    <s v="Telephone"/>
    <s v="Investigation"/>
    <x v="4"/>
    <x v="681"/>
    <n v="533.50300000000004"/>
    <s v="P29"/>
    <s v="P29-S-R9"/>
    <s v="PALF"/>
    <x v="3"/>
    <s v="Congo"/>
    <x v="0"/>
    <x v="0"/>
    <m/>
  </r>
  <r>
    <x v="227"/>
    <s v="Taxi : hotel - parking de Bounkou"/>
    <s v="Transport"/>
    <s v="Investigation"/>
    <x v="24"/>
    <x v="678"/>
    <n v="533.50300000000004"/>
    <s v="T73"/>
    <s v="T73-S-D1"/>
    <s v="PALF"/>
    <x v="3"/>
    <s v="Congo"/>
    <x v="0"/>
    <x v="0"/>
    <m/>
  </r>
  <r>
    <x v="227"/>
    <s v="Achat billet : Dolisie - Kimongo/ T73"/>
    <s v="Transport"/>
    <s v="Investigation"/>
    <x v="63"/>
    <x v="696"/>
    <n v="533.50300000000004"/>
    <s v="T73"/>
    <s v="T73-S-R7"/>
    <s v="PALF"/>
    <x v="3"/>
    <s v="Congo"/>
    <x v="0"/>
    <x v="0"/>
    <m/>
  </r>
  <r>
    <x v="227"/>
    <s v="taxi moto : parking - marché de kimogo ( prospection)"/>
    <s v="Transport"/>
    <s v="Investigation"/>
    <x v="24"/>
    <x v="678"/>
    <n v="533.50300000000004"/>
    <s v="T73"/>
    <s v="T73-S-D1"/>
    <s v="PALF"/>
    <x v="3"/>
    <s v="Congo"/>
    <x v="0"/>
    <x v="0"/>
    <m/>
  </r>
  <r>
    <x v="227"/>
    <s v="taxi moto :  marché de kimogo - parking retour sur dolisie)"/>
    <s v="Transport"/>
    <s v="Investigation"/>
    <x v="24"/>
    <x v="678"/>
    <n v="533.50300000000004"/>
    <s v="T73"/>
    <s v="T73-S-D1"/>
    <s v="PALF"/>
    <x v="3"/>
    <s v="Congo"/>
    <x v="0"/>
    <x v="0"/>
    <m/>
  </r>
  <r>
    <x v="227"/>
    <s v="Achat billet : Kimongo - Dolisie/T73"/>
    <s v="Transport"/>
    <s v="Investigation"/>
    <x v="63"/>
    <x v="696"/>
    <n v="533.50300000000004"/>
    <s v="T73"/>
    <s v="T73-S-R8"/>
    <s v="PALF"/>
    <x v="3"/>
    <s v="Congo"/>
    <x v="0"/>
    <x v="0"/>
    <m/>
  </r>
  <r>
    <x v="227"/>
    <s v="achat boisson/une cible"/>
    <s v="Trust Building"/>
    <s v="Investigation"/>
    <x v="120"/>
    <x v="702"/>
    <n v="533.50300000000004"/>
    <s v="T73"/>
    <s v="T73-S-D3"/>
    <s v="PALF"/>
    <x v="3"/>
    <s v="Congo"/>
    <x v="0"/>
    <x v="0"/>
    <m/>
  </r>
  <r>
    <x v="227"/>
    <s v="Credit telephonique MTN PALF/ du 15 au 21 septembre 2025/ Investigation/T73"/>
    <s v="Telephone"/>
    <s v="Investigation"/>
    <x v="4"/>
    <x v="681"/>
    <n v="533.50300000000004"/>
    <s v="T73"/>
    <s v="T73-S-R9"/>
    <s v="PALF"/>
    <x v="3"/>
    <s v="Congo"/>
    <x v="0"/>
    <x v="0"/>
    <m/>
  </r>
  <r>
    <x v="227"/>
    <s v="Taxi : Bureau - PK/ Prospection"/>
    <s v="Transport"/>
    <s v="Investigation"/>
    <x v="70"/>
    <x v="697"/>
    <n v="533.50300000000004"/>
    <s v="IT87"/>
    <s v="IT87-S-D1"/>
    <s v="PALF"/>
    <x v="3"/>
    <s v="Congo"/>
    <x v="0"/>
    <x v="0"/>
    <m/>
  </r>
  <r>
    <x v="227"/>
    <s v="Taxi : PK - Kinsoundi/ Prospection"/>
    <s v="Transport"/>
    <s v="Investigation"/>
    <x v="24"/>
    <x v="678"/>
    <n v="533.50300000000004"/>
    <s v="IT87"/>
    <s v="IT87-S-D1"/>
    <s v="PALF"/>
    <x v="3"/>
    <s v="Congo"/>
    <x v="0"/>
    <x v="0"/>
    <m/>
  </r>
  <r>
    <x v="227"/>
    <s v="Taxi : Kinsoundi - Domicile/ Retour de prospection"/>
    <s v="Transport"/>
    <s v="Investigation"/>
    <x v="120"/>
    <x v="702"/>
    <n v="533.50300000000004"/>
    <s v="IT87"/>
    <s v="IT87-S-D1"/>
    <s v="PALF"/>
    <x v="3"/>
    <s v="Congo"/>
    <x v="0"/>
    <x v="0"/>
    <m/>
  </r>
  <r>
    <x v="227"/>
    <s v="Credit telephonique MTN PALF/du 15 au 21 septembre 2025/IT87"/>
    <s v="Telephone"/>
    <s v="Investigation"/>
    <x v="4"/>
    <x v="681"/>
    <n v="533.50300000000004"/>
    <s v="IT87"/>
    <s v="IT87-S-R9"/>
    <s v="PALF"/>
    <x v="3"/>
    <s v="Congo"/>
    <x v="0"/>
    <x v="0"/>
    <m/>
  </r>
  <r>
    <x v="227"/>
    <s v="Taxi: Domicile - mayanga / prospection"/>
    <s v="Transport"/>
    <s v="Investigation"/>
    <x v="120"/>
    <x v="702"/>
    <n v="533.50300000000004"/>
    <s v="G12"/>
    <s v="G12-S-D1"/>
    <s v="PALF"/>
    <x v="3"/>
    <s v="Congo"/>
    <x v="0"/>
    <x v="0"/>
    <m/>
  </r>
  <r>
    <x v="227"/>
    <s v="Taxi: Mayanga - nganga lingolo /prospection"/>
    <s v="Transport"/>
    <s v="Investigation"/>
    <x v="120"/>
    <x v="702"/>
    <n v="533.50300000000004"/>
    <s v="G12"/>
    <s v="G12-S-D1"/>
    <s v="PALF"/>
    <x v="3"/>
    <s v="Congo"/>
    <x v="0"/>
    <x v="0"/>
    <m/>
  </r>
  <r>
    <x v="227"/>
    <s v="Taxi : Nganga lingolo - domicile"/>
    <s v="Transport"/>
    <s v="Investigation"/>
    <x v="70"/>
    <x v="697"/>
    <n v="533.50300000000004"/>
    <s v="G12"/>
    <s v="G12-S-D1"/>
    <s v="PALF"/>
    <x v="3"/>
    <s v="Congo"/>
    <x v="0"/>
    <x v="0"/>
    <m/>
  </r>
  <r>
    <x v="227"/>
    <s v="Credit telephonique MTN PALF/du 15 au 21 septembre 2025/G12"/>
    <s v="Telephone"/>
    <s v="Investigation"/>
    <x v="4"/>
    <x v="681"/>
    <n v="533.50300000000004"/>
    <s v="G12"/>
    <s v="G12-S-R3"/>
    <s v="PALF"/>
    <x v="3"/>
    <s v="Congo"/>
    <x v="0"/>
    <x v="0"/>
    <m/>
  </r>
  <r>
    <x v="227"/>
    <s v="Credit telephonique MTN PALF/ du 15 au 21 septembre 2025/Abraham"/>
    <s v="Telephone"/>
    <s v="Legal"/>
    <x v="55"/>
    <x v="709"/>
    <n v="533.50300000000004"/>
    <s v="Abraham"/>
    <s v="AB-S-R3"/>
    <s v="PALF"/>
    <x v="3"/>
    <s v="Congo"/>
    <x v="0"/>
    <x v="0"/>
    <m/>
  </r>
  <r>
    <x v="227"/>
    <s v="Credit telephonique MTN PALF/du 15 au 21 Septembre 2025/Roderlin"/>
    <s v="Telephone"/>
    <s v="Legal"/>
    <x v="55"/>
    <x v="709"/>
    <n v="533.50300000000004"/>
    <s v="Roderlin"/>
    <s v="RO-S-R7"/>
    <s v="PALF"/>
    <x v="3"/>
    <s v="Congo"/>
    <x v="0"/>
    <x v="0"/>
    <m/>
  </r>
  <r>
    <x v="227"/>
    <s v="Credit telephonique MTN PALF/ du 15 au 21 septembre 2025"/>
    <s v="Telephone"/>
    <s v="Legal"/>
    <x v="4"/>
    <x v="681"/>
    <n v="533.50300000000004"/>
    <s v="Donald-Romeo"/>
    <s v="DR-S-R7"/>
    <s v="PALF"/>
    <x v="3"/>
    <s v="Congo"/>
    <x v="0"/>
    <x v="0"/>
    <m/>
  </r>
  <r>
    <x v="227"/>
    <s v="Credit telephonique MTN PALF/du 15 au 21 septembre 2025/ Evariste"/>
    <s v="Telephone"/>
    <s v="Media"/>
    <x v="4"/>
    <x v="681"/>
    <n v="533.50300000000004"/>
    <s v="Evariste"/>
    <s v="EV-S-R8"/>
    <s v="PALF"/>
    <x v="3"/>
    <s v="Congo"/>
    <x v="0"/>
    <x v="0"/>
    <m/>
  </r>
  <r>
    <x v="227"/>
    <s v="Credit telephonique MTN PALF/du 15 au 21 Septembre 2025/Romain"/>
    <s v="Telephone"/>
    <s v="Legal"/>
    <x v="55"/>
    <x v="709"/>
    <n v="533.50300000000004"/>
    <s v="Romain"/>
    <s v="RM-S-R3"/>
    <s v="PALF"/>
    <x v="3"/>
    <s v="Congo"/>
    <x v="0"/>
    <x v="0"/>
    <m/>
  </r>
  <r>
    <x v="228"/>
    <s v="Maison-Bureau"/>
    <s v="Transport"/>
    <s v="Management"/>
    <x v="24"/>
    <x v="678"/>
    <n v="533.50300000000004"/>
    <s v="DOVI"/>
    <s v="DH-S-D1"/>
    <s v="PALF"/>
    <x v="3"/>
    <s v="Congo"/>
    <x v="0"/>
    <x v="0"/>
    <m/>
  </r>
  <r>
    <x v="228"/>
    <s v="Bureau-Maison"/>
    <s v="Transport"/>
    <s v="Management"/>
    <x v="24"/>
    <x v="678"/>
    <n v="533.50300000000004"/>
    <s v="DOVI"/>
    <s v="DH-S-D1"/>
    <s v="PALF"/>
    <x v="3"/>
    <s v="Congo"/>
    <x v="0"/>
    <x v="0"/>
    <m/>
  </r>
  <r>
    <x v="228"/>
    <s v="Taxi: Bureau - Charden Farell/transfert d'argent à P29 et T73"/>
    <s v="Transport"/>
    <s v="Office"/>
    <x v="294"/>
    <x v="682"/>
    <n v="533.50300000000004"/>
    <s v="Parfaite"/>
    <s v="P-S-D1"/>
    <s v="PALF"/>
    <x v="3"/>
    <s v="Congo"/>
    <x v="0"/>
    <x v="0"/>
    <m/>
  </r>
  <r>
    <x v="228"/>
    <s v="Taxi: Charden Farell- Bureau"/>
    <s v="Transport"/>
    <s v="Office"/>
    <x v="294"/>
    <x v="682"/>
    <n v="533.50300000000004"/>
    <s v="Parfaite"/>
    <s v="P-S-D1"/>
    <s v="PALF"/>
    <x v="3"/>
    <s v="Congo"/>
    <x v="0"/>
    <x v="0"/>
    <m/>
  </r>
  <r>
    <x v="228"/>
    <s v="Frais de tansfert d'argent à T73 et P29"/>
    <s v="Transfert fees"/>
    <s v="Office"/>
    <x v="337"/>
    <x v="716"/>
    <n v="533.50300000000004"/>
    <s v="Parfaite"/>
    <s v="CA-S-R14"/>
    <s v="PALF"/>
    <x v="3"/>
    <s v="Congo"/>
    <x v="0"/>
    <x v="0"/>
    <m/>
  </r>
  <r>
    <x v="228"/>
    <s v="Taxi hotel-mboukou,prendre détails au lieu op"/>
    <s v="Transport"/>
    <s v="Investigation"/>
    <x v="120"/>
    <x v="702"/>
    <n v="533.50300000000004"/>
    <s v="P29"/>
    <s v="P29-S-D1"/>
    <s v="PALF"/>
    <x v="3"/>
    <s v="Congo"/>
    <x v="0"/>
    <x v="0"/>
    <m/>
  </r>
  <r>
    <x v="228"/>
    <s v="Taxi mboukou -hotel"/>
    <s v="Transport"/>
    <s v="Investigation"/>
    <x v="24"/>
    <x v="678"/>
    <n v="533.50300000000004"/>
    <s v="P29"/>
    <s v="P29-S-D1"/>
    <s v="PALF"/>
    <x v="3"/>
    <s v="Congo"/>
    <x v="0"/>
    <x v="0"/>
    <m/>
  </r>
  <r>
    <x v="228"/>
    <s v="Taxi hotel-cf centre ville,pas de fonds disponible"/>
    <s v="Transport"/>
    <s v="Investigation"/>
    <x v="24"/>
    <x v="678"/>
    <n v="533.50300000000004"/>
    <s v="P29"/>
    <s v="P29-S-D1"/>
    <s v="PALF"/>
    <x v="3"/>
    <s v="Congo"/>
    <x v="0"/>
    <x v="0"/>
    <m/>
  </r>
  <r>
    <x v="228"/>
    <s v="Taxi cf cv-cf marché,retrait des fonds"/>
    <s v="Transport"/>
    <s v="Investigation"/>
    <x v="24"/>
    <x v="678"/>
    <n v="533.50300000000004"/>
    <s v="P29"/>
    <s v="P29-S-D1"/>
    <s v="PALF"/>
    <x v="3"/>
    <s v="Congo"/>
    <x v="0"/>
    <x v="0"/>
    <m/>
  </r>
  <r>
    <x v="228"/>
    <s v="Taxi cf-hotel"/>
    <s v="Transport"/>
    <s v="Investigation"/>
    <x v="24"/>
    <x v="678"/>
    <n v="533.50300000000004"/>
    <s v="P29"/>
    <s v="P29-S-D1"/>
    <s v="PALF"/>
    <x v="3"/>
    <s v="Congo"/>
    <x v="0"/>
    <x v="0"/>
    <m/>
  </r>
  <r>
    <x v="228"/>
    <s v="Taxi : hotel - gare routière"/>
    <s v="Transport"/>
    <s v="Investigation"/>
    <x v="24"/>
    <x v="678"/>
    <n v="533.50300000000004"/>
    <s v="T73"/>
    <s v="T73-S-D1"/>
    <s v="PALF"/>
    <x v="3"/>
    <s v="Congo"/>
    <x v="0"/>
    <x v="0"/>
    <m/>
  </r>
  <r>
    <x v="228"/>
    <s v="Taxi : gare routière - village mokondo ( prospection)"/>
    <s v="Transport"/>
    <s v="Investigation"/>
    <x v="24"/>
    <x v="678"/>
    <n v="533.50300000000004"/>
    <s v="T73"/>
    <s v="T73-S-D1"/>
    <s v="PALF"/>
    <x v="3"/>
    <s v="Congo"/>
    <x v="0"/>
    <x v="0"/>
    <m/>
  </r>
  <r>
    <x v="228"/>
    <s v="Taxi : village moikondo - gare routière ( prospection)"/>
    <s v="Transport"/>
    <s v="Investigation"/>
    <x v="24"/>
    <x v="678"/>
    <n v="533.50300000000004"/>
    <s v="T73"/>
    <s v="T73-S-D1"/>
    <s v="PALF"/>
    <x v="3"/>
    <s v="Congo"/>
    <x v="0"/>
    <x v="0"/>
    <m/>
  </r>
  <r>
    <x v="228"/>
    <s v="Taxi : gare routière - charden farrel( prospection)"/>
    <s v="Transport"/>
    <s v="Investigation"/>
    <x v="24"/>
    <x v="678"/>
    <n v="533.50300000000004"/>
    <s v="T73"/>
    <s v="T73-S-D1"/>
    <s v="PALF"/>
    <x v="3"/>
    <s v="Congo"/>
    <x v="0"/>
    <x v="0"/>
    <m/>
  </r>
  <r>
    <x v="228"/>
    <s v="Taxi : charden farrel - hotel(fin de journée)"/>
    <s v="Transport"/>
    <s v="Investigation"/>
    <x v="24"/>
    <x v="678"/>
    <n v="533.50300000000004"/>
    <s v="T73"/>
    <s v="T73-S-D1"/>
    <s v="PALF"/>
    <x v="3"/>
    <s v="Congo"/>
    <x v="0"/>
    <x v="0"/>
    <m/>
  </r>
  <r>
    <x v="228"/>
    <s v="achat boisson"/>
    <s v="Trust Building"/>
    <s v="Investigation"/>
    <x v="70"/>
    <x v="697"/>
    <n v="533.50300000000004"/>
    <s v="T73"/>
    <s v="T73-S-D3"/>
    <s v="PALF"/>
    <x v="3"/>
    <s v="Congo"/>
    <x v="0"/>
    <x v="0"/>
    <m/>
  </r>
  <r>
    <x v="228"/>
    <s v="Taxi : Domicile - Total/ Prospection"/>
    <s v="Transport"/>
    <s v="Investigation"/>
    <x v="70"/>
    <x v="697"/>
    <n v="533.50300000000004"/>
    <s v="IT87"/>
    <s v="IT87-S-D1"/>
    <s v="PALF"/>
    <x v="3"/>
    <s v="Congo"/>
    <x v="0"/>
    <x v="0"/>
    <m/>
  </r>
  <r>
    <x v="228"/>
    <s v="Taxi : Total - Nganga Lingolo/ Prospection"/>
    <s v="Transport"/>
    <s v="Investigation"/>
    <x v="75"/>
    <x v="694"/>
    <n v="533.50300000000004"/>
    <s v="IT87"/>
    <s v="IT87-S-D1"/>
    <s v="PALF"/>
    <x v="3"/>
    <s v="Congo"/>
    <x v="0"/>
    <x v="0"/>
    <m/>
  </r>
  <r>
    <x v="228"/>
    <s v="Taxi : Nganga Lingolo - Madibou/ Prospection"/>
    <s v="Transport"/>
    <s v="Investigation"/>
    <x v="120"/>
    <x v="702"/>
    <n v="533.50300000000004"/>
    <s v="IT87"/>
    <s v="IT87-S-D1"/>
    <s v="PALF"/>
    <x v="3"/>
    <s v="Congo"/>
    <x v="0"/>
    <x v="0"/>
    <m/>
  </r>
  <r>
    <x v="228"/>
    <s v="Taxi : Madibou  - Domicile/ Retour de prospection"/>
    <s v="Transport"/>
    <s v="Investigation"/>
    <x v="75"/>
    <x v="694"/>
    <n v="533.50300000000004"/>
    <s v="IT87"/>
    <s v="IT87-S-D1"/>
    <s v="PALF"/>
    <x v="3"/>
    <s v="Congo"/>
    <x v="0"/>
    <x v="0"/>
    <m/>
  </r>
  <r>
    <x v="228"/>
    <s v="Taxi : Domicile - marché poto poto / prospection"/>
    <s v="Transport"/>
    <s v="Investigation"/>
    <x v="24"/>
    <x v="678"/>
    <n v="533.50300000000004"/>
    <s v="G12"/>
    <s v="G12-S-D1"/>
    <s v="PALF"/>
    <x v="3"/>
    <s v="Congo"/>
    <x v="0"/>
    <x v="0"/>
    <m/>
  </r>
  <r>
    <x v="228"/>
    <s v="Taxi: Marché poto poto - congo pharmacie/ prospection"/>
    <s v="Transport"/>
    <s v="Investigation"/>
    <x v="24"/>
    <x v="678"/>
    <n v="533.50300000000004"/>
    <s v="G12"/>
    <s v="G12-S-D1"/>
    <s v="PALF"/>
    <x v="3"/>
    <s v="Congo"/>
    <x v="0"/>
    <x v="0"/>
    <m/>
  </r>
  <r>
    <x v="228"/>
    <s v="Taxi: Congo pharmacie - marché bacongo/ prospection"/>
    <s v="Transport"/>
    <s v="Investigation"/>
    <x v="24"/>
    <x v="678"/>
    <n v="533.50300000000004"/>
    <s v="G12"/>
    <s v="G12-S-D1"/>
    <s v="PALF"/>
    <x v="3"/>
    <s v="Congo"/>
    <x v="0"/>
    <x v="0"/>
    <m/>
  </r>
  <r>
    <x v="228"/>
    <s v="Taxi : Marché bacongo - domicile"/>
    <s v="Transport"/>
    <s v="Investigation"/>
    <x v="24"/>
    <x v="678"/>
    <n v="533.50300000000004"/>
    <s v="G12"/>
    <s v="G12-S-D1"/>
    <s v="PALF"/>
    <x v="3"/>
    <s v="Congo"/>
    <x v="0"/>
    <x v="0"/>
    <m/>
  </r>
  <r>
    <x v="228"/>
    <s v="Taxi: Bureau-Cabinet Me. BANZOUZI"/>
    <s v="Transport"/>
    <s v="Legal"/>
    <x v="24"/>
    <x v="678"/>
    <n v="533.50300000000004"/>
    <s v="Abraham"/>
    <s v="AB-S-D1"/>
    <s v="PALF"/>
    <x v="3"/>
    <s v="Congo"/>
    <x v="0"/>
    <x v="0"/>
    <m/>
  </r>
  <r>
    <x v="228"/>
    <s v="Taxi: Cabinet Me. BANZOUZI-Domicile"/>
    <s v="Transport"/>
    <s v="Legal"/>
    <x v="70"/>
    <x v="697"/>
    <n v="533.50300000000004"/>
    <s v="Abraham"/>
    <s v="AB-S-D1"/>
    <s v="PALF"/>
    <x v="3"/>
    <s v="Congo"/>
    <x v="0"/>
    <x v="0"/>
    <m/>
  </r>
  <r>
    <x v="229"/>
    <s v="Maison-Bureau"/>
    <s v="Transport"/>
    <s v="Management"/>
    <x v="24"/>
    <x v="678"/>
    <n v="533.50300000000004"/>
    <s v="DOVI"/>
    <s v="DH-S-D1"/>
    <s v="PALF"/>
    <x v="3"/>
    <s v="Congo"/>
    <x v="0"/>
    <x v="0"/>
    <m/>
  </r>
  <r>
    <x v="229"/>
    <s v="Bureau-Maison"/>
    <s v="Transport"/>
    <s v="Management"/>
    <x v="24"/>
    <x v="678"/>
    <n v="533.50300000000004"/>
    <s v="DOVI"/>
    <s v="DH-S-D1"/>
    <s v="PALF"/>
    <x v="3"/>
    <s v="Congo"/>
    <x v="0"/>
    <x v="0"/>
    <m/>
  </r>
  <r>
    <x v="229"/>
    <s v="Taxi:  Bureau- Cabinet d'avocat/Depot  du chèque du mois d'aout 2025 Me LOCKO"/>
    <s v="Transport"/>
    <s v="Office"/>
    <x v="24"/>
    <x v="678"/>
    <n v="533.50300000000004"/>
    <s v="Parfaite"/>
    <s v="P-S-D1"/>
    <s v="PALF"/>
    <x v="3"/>
    <s v="Congo"/>
    <x v="0"/>
    <x v="0"/>
    <m/>
  </r>
  <r>
    <x v="229"/>
    <s v="Taxi:  Cabinet d'Avocat - Domicile"/>
    <s v="Transport"/>
    <s v="Office"/>
    <x v="24"/>
    <x v="678"/>
    <n v="533.50300000000004"/>
    <s v="Parfaite"/>
    <s v="P-S-D1"/>
    <s v="PALF"/>
    <x v="3"/>
    <s v="Congo"/>
    <x v="0"/>
    <x v="0"/>
    <m/>
  </r>
  <r>
    <x v="229"/>
    <s v="Taxi hotel-belolo,prospection"/>
    <s v="Transport"/>
    <s v="Investigation"/>
    <x v="24"/>
    <x v="678"/>
    <n v="533.50300000000004"/>
    <s v="P29"/>
    <s v="P29-S-D1"/>
    <s v="PALF"/>
    <x v="3"/>
    <s v="Congo"/>
    <x v="0"/>
    <x v="0"/>
    <m/>
  </r>
  <r>
    <x v="229"/>
    <s v="Taxi belolo-sab,prospection"/>
    <s v="Transport"/>
    <s v="Investigation"/>
    <x v="24"/>
    <x v="678"/>
    <n v="533.50300000000004"/>
    <s v="P29"/>
    <s v="P29-S-D1"/>
    <s v="PALF"/>
    <x v="3"/>
    <s v="Congo"/>
    <x v="0"/>
    <x v="0"/>
    <m/>
  </r>
  <r>
    <x v="229"/>
    <s v="Taxi sab-lissanga,prospection"/>
    <s v="Transport"/>
    <s v="Investigation"/>
    <x v="24"/>
    <x v="678"/>
    <n v="533.50300000000004"/>
    <s v="P29"/>
    <s v="P29-S-D1"/>
    <s v="PALF"/>
    <x v="3"/>
    <s v="Congo"/>
    <x v="0"/>
    <x v="0"/>
    <m/>
  </r>
  <r>
    <x v="229"/>
    <s v="Taxi lissanga-cv,prospection"/>
    <s v="Transport"/>
    <s v="Investigation"/>
    <x v="24"/>
    <x v="678"/>
    <n v="533.50300000000004"/>
    <s v="P29"/>
    <s v="P29-S-D1"/>
    <s v="PALF"/>
    <x v="3"/>
    <s v="Congo"/>
    <x v="0"/>
    <x v="0"/>
    <m/>
  </r>
  <r>
    <x v="229"/>
    <s v="Taxi cv-hotel"/>
    <s v="Transport"/>
    <s v="Investigation"/>
    <x v="24"/>
    <x v="678"/>
    <n v="533.50300000000004"/>
    <s v="P29"/>
    <s v="P29-S-D1"/>
    <s v="PALF"/>
    <x v="3"/>
    <s v="Congo"/>
    <x v="0"/>
    <x v="0"/>
    <m/>
  </r>
  <r>
    <x v="229"/>
    <s v="Achat boisson avec un cible"/>
    <s v="Trust Building"/>
    <s v="Investigation"/>
    <x v="24"/>
    <x v="678"/>
    <n v="533.50300000000004"/>
    <s v="P29"/>
    <s v="P29-S-D3"/>
    <s v="PALF"/>
    <x v="3"/>
    <s v="Congo"/>
    <x v="0"/>
    <x v="0"/>
    <m/>
  </r>
  <r>
    <x v="229"/>
    <s v="Taxi : hotel pharaon - hotel de P29"/>
    <s v="Transport"/>
    <s v="Investigation"/>
    <x v="24"/>
    <x v="678"/>
    <n v="533.50300000000004"/>
    <s v="T73"/>
    <s v="T73-S-D1"/>
    <s v="PALF"/>
    <x v="3"/>
    <s v="Congo"/>
    <x v="0"/>
    <x v="0"/>
    <m/>
  </r>
  <r>
    <x v="229"/>
    <s v="Taxi : hotel de P29 - hotel pharaon"/>
    <s v="Transport"/>
    <s v="Investigation"/>
    <x v="24"/>
    <x v="678"/>
    <n v="533.50300000000004"/>
    <s v="T73"/>
    <s v="T73-S-D1"/>
    <s v="PALF"/>
    <x v="3"/>
    <s v="Congo"/>
    <x v="0"/>
    <x v="0"/>
    <m/>
  </r>
  <r>
    <x v="229"/>
    <s v="Taxi: Domicile-Cabinet Me. BANZOUZI"/>
    <s v="Transport"/>
    <s v="Legal"/>
    <x v="70"/>
    <x v="697"/>
    <n v="533.50300000000004"/>
    <s v="Abraham"/>
    <s v="AB-S-D1"/>
    <s v="PALF"/>
    <x v="3"/>
    <s v="Congo"/>
    <x v="0"/>
    <x v="0"/>
    <m/>
  </r>
  <r>
    <x v="229"/>
    <s v="Taxi: Cabinet Me. BANZOUZI- Bureau"/>
    <s v="Transport"/>
    <s v="Legal"/>
    <x v="24"/>
    <x v="678"/>
    <n v="533.50300000000004"/>
    <s v="Abraham"/>
    <s v="AB-S-D1"/>
    <s v="PALF"/>
    <x v="3"/>
    <s v="Congo"/>
    <x v="0"/>
    <x v="0"/>
    <m/>
  </r>
  <r>
    <x v="229"/>
    <s v="Taxi: Bureau-DGEF"/>
    <s v="Transport"/>
    <s v="Legal"/>
    <x v="24"/>
    <x v="678"/>
    <n v="533.50300000000004"/>
    <s v="Abraham"/>
    <s v="AB-S-D1"/>
    <s v="PALF"/>
    <x v="3"/>
    <s v="Congo"/>
    <x v="0"/>
    <x v="0"/>
    <m/>
  </r>
  <r>
    <x v="229"/>
    <s v="Taxi: DGEF-Bureau"/>
    <s v="Transport"/>
    <s v="Legal"/>
    <x v="24"/>
    <x v="678"/>
    <n v="533.50300000000004"/>
    <s v="Abraham"/>
    <s v="AB-S-D1"/>
    <s v="PALF"/>
    <x v="3"/>
    <s v="Congo"/>
    <x v="0"/>
    <x v="0"/>
    <m/>
  </r>
  <r>
    <x v="229"/>
    <s v="Taxi:Bureau-Station 10 maisons pour achat du carburant"/>
    <s v="Transport"/>
    <s v="Legal"/>
    <x v="120"/>
    <x v="702"/>
    <n v="533.50300000000004"/>
    <s v="Roderlin"/>
    <s v="RO-S-D1"/>
    <s v="PALF"/>
    <x v="3"/>
    <s v="Congo"/>
    <x v="0"/>
    <x v="0"/>
    <m/>
  </r>
  <r>
    <x v="229"/>
    <s v="Taxi:Station 10 maisons- Station NGANGA Edouard "/>
    <s v="Transport"/>
    <s v="Legal"/>
    <x v="24"/>
    <x v="678"/>
    <n v="533.50300000000004"/>
    <s v="Roderlin"/>
    <s v="RO-S-D1"/>
    <s v="PALF"/>
    <x v="3"/>
    <s v="Congo"/>
    <x v="0"/>
    <x v="0"/>
    <m/>
  </r>
  <r>
    <x v="229"/>
    <s v="Station NGANGA Edouard-Station Rond-point de moungali"/>
    <s v="Transport"/>
    <s v="Legal"/>
    <x v="120"/>
    <x v="702"/>
    <n v="533.50300000000004"/>
    <s v="Roderlin"/>
    <s v="RO-S-D1"/>
    <s v="PALF"/>
    <x v="3"/>
    <s v="Congo"/>
    <x v="0"/>
    <x v="0"/>
    <m/>
  </r>
  <r>
    <x v="229"/>
    <s v="Taxi:Station rond-point moungali-Station marché moungali"/>
    <s v="Transport"/>
    <s v="Legal"/>
    <x v="24"/>
    <x v="678"/>
    <n v="533.50300000000004"/>
    <s v="Roderlin"/>
    <s v="RO-S-D1"/>
    <s v="PALF"/>
    <x v="3"/>
    <s v="Congo"/>
    <x v="0"/>
    <x v="0"/>
    <m/>
  </r>
  <r>
    <x v="229"/>
    <s v="Taxi:Marché moungali-Bureau"/>
    <s v="Transport"/>
    <s v="Legal"/>
    <x v="70"/>
    <x v="697"/>
    <n v="533.50300000000004"/>
    <s v="Roderlin"/>
    <s v="RO-S-D1"/>
    <s v="PALF"/>
    <x v="3"/>
    <s v="Congo"/>
    <x v="0"/>
    <x v="0"/>
    <m/>
  </r>
  <r>
    <x v="229"/>
    <s v="Achat carburant groupe electrogène Bureau"/>
    <s v="Office Materiels"/>
    <s v="Office"/>
    <x v="211"/>
    <x v="711"/>
    <n v="533.50300000000004"/>
    <s v="Roderlin"/>
    <s v="CA-S-R15"/>
    <s v="PALF"/>
    <x v="3"/>
    <s v="Congo"/>
    <x v="0"/>
    <x v="0"/>
    <m/>
  </r>
  <r>
    <x v="229"/>
    <s v="Paiement Honoraire Me LOCKO/Mois d'Août  2025/3654435"/>
    <s v="Lawyer Fees"/>
    <s v="Legal"/>
    <x v="11"/>
    <x v="649"/>
    <n v="560.94200000000001"/>
    <s v="BCI"/>
    <s v="BQ-S-R6"/>
    <s v="PALF"/>
    <x v="5"/>
    <s v="Congo"/>
    <x v="0"/>
    <x v="0"/>
    <m/>
  </r>
  <r>
    <x v="230"/>
    <s v="Maison-Bureau"/>
    <s v="Transport"/>
    <s v="Management"/>
    <x v="24"/>
    <x v="678"/>
    <n v="533.50300000000004"/>
    <s v="DOVI"/>
    <s v="DH-S-D1"/>
    <s v="PALF"/>
    <x v="3"/>
    <s v="Congo"/>
    <x v="0"/>
    <x v="0"/>
    <m/>
  </r>
  <r>
    <x v="230"/>
    <s v="Bureau-Maison"/>
    <s v="Transport"/>
    <s v="Management"/>
    <x v="24"/>
    <x v="678"/>
    <n v="533.50300000000004"/>
    <s v="DOVI"/>
    <s v="DH-S-D1"/>
    <s v="PALF"/>
    <x v="3"/>
    <s v="Congo"/>
    <x v="0"/>
    <x v="0"/>
    <m/>
  </r>
  <r>
    <x v="230"/>
    <s v="Taxi : hotel - gare routière"/>
    <s v="Transport"/>
    <s v="Investigation"/>
    <x v="24"/>
    <x v="678"/>
    <n v="533.50300000000004"/>
    <s v="T73"/>
    <s v="T73-S-D1"/>
    <s v="PALF"/>
    <x v="3"/>
    <s v="Congo"/>
    <x v="0"/>
    <x v="0"/>
    <m/>
  </r>
  <r>
    <x v="230"/>
    <s v="Taxi : gare routière - village mokondo ( prospection)"/>
    <s v="Transport"/>
    <s v="Investigation"/>
    <x v="75"/>
    <x v="694"/>
    <n v="533.50300000000004"/>
    <s v="T73"/>
    <s v="T73-S-D1"/>
    <s v="PALF"/>
    <x v="3"/>
    <s v="Congo"/>
    <x v="0"/>
    <x v="0"/>
    <m/>
  </r>
  <r>
    <x v="230"/>
    <s v="Taxi : village mokondo - gare routière ( prospection)"/>
    <s v="Transport"/>
    <s v="Investigation"/>
    <x v="75"/>
    <x v="694"/>
    <n v="533.50300000000004"/>
    <s v="T73"/>
    <s v="T73-S-D1"/>
    <s v="PALF"/>
    <x v="3"/>
    <s v="Congo"/>
    <x v="0"/>
    <x v="0"/>
    <m/>
  </r>
  <r>
    <x v="230"/>
    <s v="Taxi : gare routière - hotel ( prospection)"/>
    <s v="Transport"/>
    <s v="Investigation"/>
    <x v="24"/>
    <x v="678"/>
    <n v="533.50300000000004"/>
    <s v="T73"/>
    <s v="T73-S-D1"/>
    <s v="PALF"/>
    <x v="3"/>
    <s v="Congo"/>
    <x v="0"/>
    <x v="0"/>
    <m/>
  </r>
  <r>
    <x v="231"/>
    <s v="Maison-Bureau"/>
    <s v="Transport"/>
    <s v="Management"/>
    <x v="24"/>
    <x v="678"/>
    <n v="533.50300000000004"/>
    <s v="DOVI"/>
    <s v="DH-S-D1"/>
    <s v="PALF"/>
    <x v="3"/>
    <s v="Congo"/>
    <x v="0"/>
    <x v="0"/>
    <m/>
  </r>
  <r>
    <x v="231"/>
    <s v="Bureau-Maison"/>
    <s v="Transport"/>
    <s v="Management"/>
    <x v="24"/>
    <x v="678"/>
    <n v="533.50300000000004"/>
    <s v="DOVI"/>
    <s v="DH-S-D1"/>
    <s v="PALF"/>
    <x v="3"/>
    <s v="Congo"/>
    <x v="0"/>
    <x v="0"/>
    <m/>
  </r>
  <r>
    <x v="231"/>
    <s v="Taxi : hotel - gare routière"/>
    <s v="Transport"/>
    <s v="Investigation"/>
    <x v="24"/>
    <x v="678"/>
    <n v="533.50300000000004"/>
    <s v="T73"/>
    <s v="T73-S-D1"/>
    <s v="PALF"/>
    <x v="3"/>
    <s v="Congo"/>
    <x v="0"/>
    <x v="0"/>
    <m/>
  </r>
  <r>
    <x v="231"/>
    <s v="Taxi : gare routière - village mokondo ( prospection)"/>
    <s v="Transport"/>
    <s v="Investigation"/>
    <x v="75"/>
    <x v="694"/>
    <n v="533.50300000000004"/>
    <s v="T73"/>
    <s v="T73-S-D1"/>
    <s v="PALF"/>
    <x v="3"/>
    <s v="Congo"/>
    <x v="0"/>
    <x v="0"/>
    <m/>
  </r>
  <r>
    <x v="231"/>
    <s v="Taxi : village mokondo - gare routière ( prospection)"/>
    <s v="Transport"/>
    <s v="Investigation"/>
    <x v="75"/>
    <x v="694"/>
    <n v="533.50300000000004"/>
    <s v="T73"/>
    <s v="T73-S-D1"/>
    <s v="PALF"/>
    <x v="3"/>
    <s v="Congo"/>
    <x v="0"/>
    <x v="0"/>
    <m/>
  </r>
  <r>
    <x v="231"/>
    <s v="Taxi : gare routière - hotel (fin de journée)"/>
    <s v="Transport"/>
    <s v="Investigation"/>
    <x v="24"/>
    <x v="678"/>
    <n v="533.50300000000004"/>
    <s v="T73"/>
    <s v="T73-S-D1"/>
    <s v="PALF"/>
    <x v="3"/>
    <s v="Congo"/>
    <x v="0"/>
    <x v="0"/>
    <m/>
  </r>
  <r>
    <x v="231"/>
    <s v="achat boisson /une cible"/>
    <s v="Trust Building"/>
    <s v="Investigation"/>
    <x v="120"/>
    <x v="702"/>
    <n v="533.50300000000004"/>
    <s v="T73"/>
    <s v="T73-S-D3"/>
    <s v="PALF"/>
    <x v="3"/>
    <s v="Congo"/>
    <x v="0"/>
    <x v="0"/>
    <m/>
  </r>
  <r>
    <x v="232"/>
    <s v="Maison-Bureau"/>
    <s v="Transport"/>
    <s v="Management"/>
    <x v="24"/>
    <x v="678"/>
    <n v="533.50300000000004"/>
    <s v="DOVI"/>
    <s v="DH-S-D1"/>
    <s v="PALF"/>
    <x v="3"/>
    <s v="Congo"/>
    <x v="0"/>
    <x v="0"/>
    <m/>
  </r>
  <r>
    <x v="232"/>
    <s v="Bureau-Maison"/>
    <s v="Transport"/>
    <s v="Management"/>
    <x v="24"/>
    <x v="678"/>
    <n v="533.50300000000004"/>
    <s v="DOVI"/>
    <s v="DH-S-D1"/>
    <s v="PALF"/>
    <x v="3"/>
    <s v="Congo"/>
    <x v="0"/>
    <x v="0"/>
    <m/>
  </r>
  <r>
    <x v="232"/>
    <s v="Taxi:  Bureau-Banque BCI/ Retrait espèce"/>
    <s v="Transport"/>
    <s v="Office"/>
    <x v="24"/>
    <x v="678"/>
    <n v="533.50300000000004"/>
    <s v="Parfaite"/>
    <s v="P-S-D1"/>
    <s v="PALF"/>
    <x v="3"/>
    <s v="Congo"/>
    <x v="0"/>
    <x v="0"/>
    <m/>
  </r>
  <r>
    <x v="232"/>
    <s v="Taxi:  Banque BCI - Bureau"/>
    <s v="Transport"/>
    <s v="Office"/>
    <x v="24"/>
    <x v="678"/>
    <n v="533.50300000000004"/>
    <s v="Parfaite"/>
    <s v="P-S-D1"/>
    <s v="PALF"/>
    <x v="3"/>
    <s v="Congo"/>
    <x v="0"/>
    <x v="0"/>
    <m/>
  </r>
  <r>
    <x v="232"/>
    <s v="Taxi hotel-magandzi,prospection"/>
    <s v="Transport"/>
    <s v="Investigation"/>
    <x v="24"/>
    <x v="678"/>
    <n v="533.50300000000004"/>
    <s v="P29"/>
    <s v="P29-S-D1"/>
    <s v="PALF"/>
    <x v="3"/>
    <s v="Congo"/>
    <x v="0"/>
    <x v="0"/>
    <m/>
  </r>
  <r>
    <x v="232"/>
    <s v="Taxi magadzi-hotel"/>
    <s v="Transport"/>
    <s v="Investigation"/>
    <x v="24"/>
    <x v="678"/>
    <n v="533.50300000000004"/>
    <s v="P29"/>
    <s v="P29-S-D1"/>
    <s v="PALF"/>
    <x v="3"/>
    <s v="Congo"/>
    <x v="0"/>
    <x v="0"/>
    <m/>
  </r>
  <r>
    <x v="232"/>
    <s v="Taxi : hotel pharaon - hotel de P29"/>
    <s v="Transport"/>
    <s v="Investigation"/>
    <x v="24"/>
    <x v="678"/>
    <n v="533.50300000000004"/>
    <s v="T73"/>
    <s v="T73-S-D1"/>
    <s v="PALF"/>
    <x v="3"/>
    <s v="Congo"/>
    <x v="0"/>
    <x v="0"/>
    <m/>
  </r>
  <r>
    <x v="232"/>
    <s v="Taxi : hotel de P29 - hotel pharaon"/>
    <s v="Transport"/>
    <s v="Investigation"/>
    <x v="24"/>
    <x v="678"/>
    <n v="533.50300000000004"/>
    <s v="T73"/>
    <s v="T73-S-D1"/>
    <s v="PALF"/>
    <x v="3"/>
    <s v="Congo"/>
    <x v="0"/>
    <x v="0"/>
    <m/>
  </r>
  <r>
    <x v="232"/>
    <s v="Bonus à un informateur en RDC"/>
    <s v="Trust Building"/>
    <s v="Investigation"/>
    <x v="29"/>
    <x v="724"/>
    <n v="533.50300000000004"/>
    <s v="Romain"/>
    <s v="CA-S-R16"/>
    <s v="PALF"/>
    <x v="3"/>
    <s v="Congo"/>
    <x v="0"/>
    <x v="0"/>
    <m/>
  </r>
  <r>
    <x v="232"/>
    <s v="Frais de tansfert d'argent àl'informateur en RDC"/>
    <s v="Transfert fees"/>
    <s v="Office"/>
    <x v="341"/>
    <x v="725"/>
    <n v="533.50300000000004"/>
    <s v="Romain"/>
    <s v="CA-S-R17"/>
    <s v="PALF"/>
    <x v="3"/>
    <s v="Congo"/>
    <x v="0"/>
    <x v="0"/>
    <m/>
  </r>
  <r>
    <x v="233"/>
    <s v="Maison-Bureau"/>
    <s v="Transport"/>
    <s v="Management"/>
    <x v="24"/>
    <x v="678"/>
    <n v="533.50300000000004"/>
    <s v="DOVI"/>
    <s v="DH-S-D1"/>
    <s v="PALF"/>
    <x v="3"/>
    <s v="Congo"/>
    <x v="0"/>
    <x v="0"/>
    <m/>
  </r>
  <r>
    <x v="233"/>
    <s v="Bureau-Banque BCI"/>
    <s v="Transport"/>
    <s v="Management"/>
    <x v="24"/>
    <x v="678"/>
    <n v="533.50300000000004"/>
    <s v="DOVI"/>
    <s v="DH-S-D1"/>
    <s v="PALF"/>
    <x v="3"/>
    <s v="Congo"/>
    <x v="0"/>
    <x v="0"/>
    <m/>
  </r>
  <r>
    <x v="233"/>
    <s v="Banque BCI -Bureau"/>
    <s v="Transport"/>
    <s v="Management"/>
    <x v="24"/>
    <x v="678"/>
    <n v="533.50300000000004"/>
    <s v="DOVI"/>
    <s v="DH-S-D1"/>
    <s v="PALF"/>
    <x v="3"/>
    <s v="Congo"/>
    <x v="0"/>
    <x v="0"/>
    <m/>
  </r>
  <r>
    <x v="233"/>
    <s v="Bureau-Maison"/>
    <s v="Transport"/>
    <s v="Management"/>
    <x v="24"/>
    <x v="678"/>
    <n v="533.50300000000004"/>
    <s v="DOVI"/>
    <s v="DH-S-D1"/>
    <s v="PALF"/>
    <x v="3"/>
    <s v="Congo"/>
    <x v="0"/>
    <x v="0"/>
    <m/>
  </r>
  <r>
    <x v="233"/>
    <s v="Taxi: Bureau - Charden Farell/transfert d'argent à P29 et T73"/>
    <s v="Transport"/>
    <s v="Office"/>
    <x v="294"/>
    <x v="682"/>
    <n v="533.50300000000004"/>
    <s v="Parfaite"/>
    <s v="P-S-D1"/>
    <s v="PALF"/>
    <x v="3"/>
    <s v="Congo"/>
    <x v="0"/>
    <x v="0"/>
    <m/>
  </r>
  <r>
    <x v="233"/>
    <s v="Taxi: Charden Farell- Bureau"/>
    <s v="Transport"/>
    <s v="Office"/>
    <x v="294"/>
    <x v="682"/>
    <n v="533.50300000000004"/>
    <s v="Parfaite"/>
    <s v="P-S-D1"/>
    <s v="PALF"/>
    <x v="3"/>
    <s v="Congo"/>
    <x v="0"/>
    <x v="0"/>
    <m/>
  </r>
  <r>
    <x v="233"/>
    <s v="Frais de tansfert d'argent  a P29 et T73"/>
    <s v="Transfert fees"/>
    <s v="Office"/>
    <x v="70"/>
    <x v="697"/>
    <n v="533.50300000000004"/>
    <s v="Parfaite"/>
    <s v="CA-S-R18"/>
    <s v="PALF"/>
    <x v="3"/>
    <s v="Congo"/>
    <x v="0"/>
    <x v="0"/>
    <m/>
  </r>
  <r>
    <x v="233"/>
    <s v="Taxi hotel-cf marché,pas de fonds disponible"/>
    <s v="Transport"/>
    <s v="Investigation"/>
    <x v="24"/>
    <x v="678"/>
    <n v="533.50300000000004"/>
    <s v="P29"/>
    <s v="P29-S-D1"/>
    <s v="PALF"/>
    <x v="3"/>
    <s v="Congo"/>
    <x v="0"/>
    <x v="0"/>
    <m/>
  </r>
  <r>
    <x v="233"/>
    <s v="Taxi cf marché-cf cv,retrait des fonds"/>
    <s v="Transport"/>
    <s v="Investigation"/>
    <x v="24"/>
    <x v="678"/>
    <n v="533.50300000000004"/>
    <s v="P29"/>
    <s v="P29-S-D1"/>
    <s v="PALF"/>
    <x v="3"/>
    <s v="Congo"/>
    <x v="0"/>
    <x v="0"/>
    <m/>
  </r>
  <r>
    <x v="233"/>
    <s v="Taxi cf cv-hotel"/>
    <s v="Transport"/>
    <s v="Investigation"/>
    <x v="24"/>
    <x v="678"/>
    <n v="533.50300000000004"/>
    <s v="P29"/>
    <s v="P29-S-D1"/>
    <s v="PALF"/>
    <x v="3"/>
    <s v="Congo"/>
    <x v="0"/>
    <x v="0"/>
    <m/>
  </r>
  <r>
    <x v="233"/>
    <s v="Taxi : hotel pharaon - marché tsila ( rendez vous avec la cible)"/>
    <s v="Transport"/>
    <s v="Investigation"/>
    <x v="24"/>
    <x v="678"/>
    <n v="533.50300000000004"/>
    <s v="T73"/>
    <s v="T73-S-D1"/>
    <s v="PALF"/>
    <x v="3"/>
    <s v="Congo"/>
    <x v="0"/>
    <x v="0"/>
    <m/>
  </r>
  <r>
    <x v="233"/>
    <s v="Taxi : marché tsila - centre ville ( rendez vous avec la cible)"/>
    <s v="Transport"/>
    <s v="Investigation"/>
    <x v="24"/>
    <x v="678"/>
    <n v="533.50300000000004"/>
    <s v="T73"/>
    <s v="T73-S-D1"/>
    <s v="PALF"/>
    <x v="3"/>
    <s v="Congo"/>
    <x v="0"/>
    <x v="0"/>
    <m/>
  </r>
  <r>
    <x v="233"/>
    <s v="Taxi : centre ville - grand marché (extraction)"/>
    <s v="Transport"/>
    <s v="Investigation"/>
    <x v="24"/>
    <x v="678"/>
    <n v="533.50300000000004"/>
    <s v="T73"/>
    <s v="T73-S-D1"/>
    <s v="PALF"/>
    <x v="3"/>
    <s v="Congo"/>
    <x v="0"/>
    <x v="0"/>
    <m/>
  </r>
  <r>
    <x v="233"/>
    <s v="Taxi : grand marché - mont fleury (extraction)"/>
    <s v="Transport"/>
    <s v="Investigation"/>
    <x v="24"/>
    <x v="678"/>
    <n v="533.50300000000004"/>
    <s v="T73"/>
    <s v="T73-S-D1"/>
    <s v="PALF"/>
    <x v="3"/>
    <s v="Congo"/>
    <x v="0"/>
    <x v="0"/>
    <m/>
  </r>
  <r>
    <x v="233"/>
    <s v="Taxi : mont fleury - charden farell (extraction)"/>
    <s v="Transport"/>
    <s v="Investigation"/>
    <x v="24"/>
    <x v="678"/>
    <n v="533.50300000000004"/>
    <s v="T73"/>
    <s v="T73-S-D1"/>
    <s v="PALF"/>
    <x v="3"/>
    <s v="Congo"/>
    <x v="0"/>
    <x v="0"/>
    <m/>
  </r>
  <r>
    <x v="233"/>
    <s v="Taxi : charden farell - hotel  (fin de journeé)"/>
    <s v="Transport"/>
    <s v="Investigation"/>
    <x v="24"/>
    <x v="678"/>
    <n v="533.50300000000004"/>
    <s v="T73"/>
    <s v="T73-S-D1"/>
    <s v="PALF"/>
    <x v="3"/>
    <s v="Congo"/>
    <x v="0"/>
    <x v="0"/>
    <m/>
  </r>
  <r>
    <x v="233"/>
    <s v="achat boissons deux cible"/>
    <s v="Trust Building"/>
    <s v="Investigation"/>
    <x v="342"/>
    <x v="726"/>
    <n v="533.50300000000004"/>
    <s v="T73"/>
    <s v="T73-S-D3"/>
    <s v="PALF"/>
    <x v="3"/>
    <s v="Congo"/>
    <x v="0"/>
    <x v="0"/>
    <m/>
  </r>
  <r>
    <x v="233"/>
    <s v="Taxi : Domicile - Moukondo/ Prospection"/>
    <s v="Transport"/>
    <s v="Investigation"/>
    <x v="70"/>
    <x v="697"/>
    <n v="533.50300000000004"/>
    <s v="IT87"/>
    <s v="IT87-S-D1"/>
    <s v="PALF"/>
    <x v="3"/>
    <s v="Congo"/>
    <x v="0"/>
    <x v="0"/>
    <m/>
  </r>
  <r>
    <x v="233"/>
    <s v="Taxi : Moukondo - Nkombo/ Prospection"/>
    <s v="Transport"/>
    <s v="Investigation"/>
    <x v="120"/>
    <x v="702"/>
    <n v="533.50300000000004"/>
    <s v="IT87"/>
    <s v="IT87-S-D1"/>
    <s v="PALF"/>
    <x v="3"/>
    <s v="Congo"/>
    <x v="0"/>
    <x v="0"/>
    <m/>
  </r>
  <r>
    <x v="233"/>
    <s v="Taxi : Nkombo - Tsiéme/ Prospection"/>
    <s v="Transport"/>
    <s v="Investigation"/>
    <x v="24"/>
    <x v="678"/>
    <n v="533.50300000000004"/>
    <s v="IT87"/>
    <s v="IT87-S-D1"/>
    <s v="PALF"/>
    <x v="3"/>
    <s v="Congo"/>
    <x v="0"/>
    <x v="0"/>
    <m/>
  </r>
  <r>
    <x v="233"/>
    <s v="Taxi : Tsiéme - Domicile/ retour de prospection"/>
    <s v="Transport"/>
    <s v="Investigation"/>
    <x v="75"/>
    <x v="694"/>
    <n v="533.50300000000004"/>
    <s v="IT87"/>
    <s v="IT87-S-D1"/>
    <s v="PALF"/>
    <x v="3"/>
    <s v="Congo"/>
    <x v="0"/>
    <x v="0"/>
    <m/>
  </r>
  <r>
    <x v="233"/>
    <s v="Taxi: Domicile - nganga lingolo/ prospection"/>
    <s v="Transport"/>
    <s v="Investigation"/>
    <x v="70"/>
    <x v="697"/>
    <n v="533.50300000000004"/>
    <s v="G12"/>
    <s v="G12-S-D1"/>
    <s v="PALF"/>
    <x v="3"/>
    <s v="Congo"/>
    <x v="0"/>
    <x v="0"/>
    <m/>
  </r>
  <r>
    <x v="233"/>
    <s v="Taxi: Nganga lingolo - mayanga/prospection"/>
    <s v="Transport"/>
    <s v="Investigation"/>
    <x v="24"/>
    <x v="678"/>
    <n v="533.50300000000004"/>
    <s v="G12"/>
    <s v="G12-S-D1"/>
    <s v="PALF"/>
    <x v="3"/>
    <s v="Congo"/>
    <x v="0"/>
    <x v="0"/>
    <m/>
  </r>
  <r>
    <x v="233"/>
    <s v="Taxi: Mayanga- domicile"/>
    <s v="Transport"/>
    <s v="Investigation"/>
    <x v="24"/>
    <x v="678"/>
    <n v="533.50300000000004"/>
    <s v="G12"/>
    <s v="G12-S-D1"/>
    <s v="PALF"/>
    <x v="3"/>
    <s v="Congo"/>
    <x v="0"/>
    <x v="0"/>
    <m/>
  </r>
  <r>
    <x v="233"/>
    <s v="Achat eau mineral 10 LITRES/Bureau"/>
    <s v="Office Materiels"/>
    <s v="Office"/>
    <x v="7"/>
    <x v="727"/>
    <n v="533.50300000000004"/>
    <s v="Abraham"/>
    <s v="CA-S-R19"/>
    <s v="PALF"/>
    <x v="3"/>
    <s v="Congo"/>
    <x v="0"/>
    <x v="0"/>
    <m/>
  </r>
  <r>
    <x v="234"/>
    <s v="Maison-Bureau"/>
    <s v="Transport"/>
    <s v="Management"/>
    <x v="24"/>
    <x v="678"/>
    <n v="533.50300000000004"/>
    <s v="DOVI"/>
    <s v="DH-S-D1"/>
    <s v="PALF"/>
    <x v="3"/>
    <s v="Congo"/>
    <x v="0"/>
    <x v="0"/>
    <m/>
  </r>
  <r>
    <x v="234"/>
    <s v="Bureau-Maison"/>
    <s v="Transport"/>
    <s v="Management"/>
    <x v="24"/>
    <x v="678"/>
    <n v="533.50300000000004"/>
    <s v="DOVI"/>
    <s v="DH-S-D1"/>
    <s v="PALF"/>
    <x v="3"/>
    <s v="Congo"/>
    <x v="0"/>
    <x v="0"/>
    <m/>
  </r>
  <r>
    <x v="234"/>
    <s v="Frais de réparation d'imprimante bureau PALF"/>
    <s v="Office Materiels"/>
    <s v="Office"/>
    <x v="343"/>
    <x v="728"/>
    <n v="533.50300000000004"/>
    <s v="Parfaite"/>
    <s v="CA-S-R20"/>
    <s v="PALF"/>
    <x v="3"/>
    <s v="Congo"/>
    <x v="0"/>
    <x v="0"/>
    <m/>
  </r>
  <r>
    <x v="234"/>
    <s v="Taxi : hotel pharaon - hotel de P29"/>
    <s v="Transport"/>
    <s v="Investigation"/>
    <x v="24"/>
    <x v="678"/>
    <n v="533.50300000000004"/>
    <s v="T73"/>
    <s v="T73-S-D1"/>
    <s v="PALF"/>
    <x v="3"/>
    <s v="Congo"/>
    <x v="0"/>
    <x v="0"/>
    <m/>
  </r>
  <r>
    <x v="234"/>
    <s v="Taxi : hotel de P29 - hotel pharaon"/>
    <s v="Transport"/>
    <s v="Investigation"/>
    <x v="24"/>
    <x v="678"/>
    <n v="533.50300000000004"/>
    <s v="T73"/>
    <s v="T73-S-D1"/>
    <s v="PALF"/>
    <x v="3"/>
    <s v="Congo"/>
    <x v="0"/>
    <x v="0"/>
    <m/>
  </r>
  <r>
    <x v="235"/>
    <s v="Maison-Bureau"/>
    <s v="Transport"/>
    <s v="Management"/>
    <x v="24"/>
    <x v="678"/>
    <n v="533.50300000000004"/>
    <s v="DOVI"/>
    <s v="DH-S-D1"/>
    <s v="PALF"/>
    <x v="3"/>
    <s v="Congo"/>
    <x v="0"/>
    <x v="0"/>
    <m/>
  </r>
  <r>
    <x v="235"/>
    <s v="Bureau-Maison"/>
    <s v="Transport"/>
    <s v="Management"/>
    <x v="24"/>
    <x v="678"/>
    <n v="533.50300000000004"/>
    <s v="DOVI"/>
    <s v="DH-S-D1"/>
    <s v="PALF"/>
    <x v="3"/>
    <s v="Congo"/>
    <x v="0"/>
    <x v="0"/>
    <m/>
  </r>
  <r>
    <x v="235"/>
    <s v="Taxi : hotel pharaon - hotel de P29"/>
    <s v="Transport"/>
    <s v="Investigation"/>
    <x v="24"/>
    <x v="678"/>
    <n v="533.50300000000004"/>
    <s v="T73"/>
    <s v="T73-S-D1"/>
    <s v="PALF"/>
    <x v="3"/>
    <s v="Congo"/>
    <x v="0"/>
    <x v="0"/>
    <m/>
  </r>
  <r>
    <x v="235"/>
    <s v="Taxi : hotel de P29 - hotel pharaon"/>
    <s v="Transport"/>
    <s v="Investigation"/>
    <x v="24"/>
    <x v="678"/>
    <n v="533.50300000000004"/>
    <s v="T73"/>
    <s v="T73-S-D1"/>
    <s v="PALF"/>
    <x v="3"/>
    <s v="Congo"/>
    <x v="0"/>
    <x v="0"/>
    <m/>
  </r>
  <r>
    <x v="235"/>
    <s v="Taxi: Bureau-DGEF"/>
    <s v="Transport"/>
    <s v="Legal"/>
    <x v="24"/>
    <x v="678"/>
    <n v="533.50300000000004"/>
    <s v="Romain"/>
    <s v="RM-S-D1"/>
    <s v="PALF"/>
    <x v="3"/>
    <s v="Congo"/>
    <x v="0"/>
    <x v="0"/>
    <m/>
  </r>
  <r>
    <x v="235"/>
    <s v="Taxi: DGEF-Bureau"/>
    <s v="Transport"/>
    <s v="Legal"/>
    <x v="24"/>
    <x v="678"/>
    <n v="533.50300000000004"/>
    <s v="Romain"/>
    <s v="RM-S-D1"/>
    <s v="PALF"/>
    <x v="3"/>
    <s v="Congo"/>
    <x v="0"/>
    <x v="0"/>
    <m/>
  </r>
  <r>
    <x v="236"/>
    <s v="Maison-Bureau"/>
    <s v="Transport"/>
    <s v="Management"/>
    <x v="24"/>
    <x v="678"/>
    <n v="533.50300000000004"/>
    <s v="DOVI"/>
    <s v="DH-S-D1"/>
    <s v="PALF"/>
    <x v="3"/>
    <s v="Congo"/>
    <x v="0"/>
    <x v="0"/>
    <m/>
  </r>
  <r>
    <x v="236"/>
    <s v="Bureau-Maison"/>
    <s v="Transport"/>
    <s v="Management"/>
    <x v="24"/>
    <x v="678"/>
    <n v="533.50300000000004"/>
    <s v="DOVI"/>
    <s v="DH-S-D1"/>
    <s v="PALF"/>
    <x v="3"/>
    <s v="Congo"/>
    <x v="0"/>
    <x v="0"/>
    <m/>
  </r>
  <r>
    <x v="236"/>
    <s v="Taxi:  Bureau- Direction MTN/Transfert d'argent à P29 et T73"/>
    <s v="Transport"/>
    <s v="Office"/>
    <x v="24"/>
    <x v="678"/>
    <n v="533.50300000000004"/>
    <s v="Parfaite"/>
    <s v="P-S-D1"/>
    <s v="PALF"/>
    <x v="3"/>
    <s v="Congo"/>
    <x v="0"/>
    <x v="0"/>
    <m/>
  </r>
  <r>
    <x v="236"/>
    <s v="Taxi:   Direction MTN- Domicile"/>
    <s v="Transport"/>
    <s v="Office"/>
    <x v="24"/>
    <x v="678"/>
    <n v="533.50300000000004"/>
    <s v="Parfaite"/>
    <s v="P-S-D1"/>
    <s v="PALF"/>
    <x v="3"/>
    <s v="Congo"/>
    <x v="0"/>
    <x v="0"/>
    <m/>
  </r>
  <r>
    <x v="236"/>
    <s v="Frais de ramassage Ordure de Septembre 2025"/>
    <s v="Rent &amp; Utilities"/>
    <s v="Office"/>
    <x v="63"/>
    <x v="696"/>
    <n v="533.50300000000004"/>
    <s v="Parfaite"/>
    <s v="CA-S-R21"/>
    <s v="PALF"/>
    <x v="3"/>
    <s v="Congo"/>
    <x v="0"/>
    <x v="0"/>
    <m/>
  </r>
  <r>
    <x v="236"/>
    <s v="Frais de tansfert d'argent  a P29 et T73"/>
    <s v="Transfert fees"/>
    <s v="Office"/>
    <x v="344"/>
    <x v="729"/>
    <n v="533.50300000000004"/>
    <s v="Parfaite"/>
    <s v="CA-S-R22"/>
    <s v="PALF"/>
    <x v="3"/>
    <s v="Congo"/>
    <x v="0"/>
    <x v="0"/>
    <m/>
  </r>
  <r>
    <x v="236"/>
    <s v="Taxi : hotel pharaon - hotel de P29"/>
    <s v="Transport"/>
    <s v="Investigation"/>
    <x v="24"/>
    <x v="678"/>
    <n v="533.50300000000004"/>
    <s v="T73"/>
    <s v="T73-S-D1"/>
    <s v="PALF"/>
    <x v="3"/>
    <s v="Congo"/>
    <x v="0"/>
    <x v="0"/>
    <m/>
  </r>
  <r>
    <x v="236"/>
    <s v="Taxi : hotel de P29 - hotel pharaon"/>
    <s v="Transport"/>
    <s v="Investigation"/>
    <x v="24"/>
    <x v="678"/>
    <n v="533.50300000000004"/>
    <s v="T73"/>
    <s v="T73-S-D1"/>
    <s v="PALF"/>
    <x v="3"/>
    <s v="Congo"/>
    <x v="0"/>
    <x v="0"/>
    <m/>
  </r>
  <r>
    <x v="236"/>
    <s v="Taxi: Bureau-Cabinet Maitre BANZOUZI"/>
    <s v="Transport"/>
    <s v="Legal"/>
    <x v="120"/>
    <x v="702"/>
    <n v="533.50300000000004"/>
    <s v="Romain"/>
    <s v="RM-S-D1"/>
    <s v="PALF"/>
    <x v="3"/>
    <s v="Congo"/>
    <x v="0"/>
    <x v="0"/>
    <m/>
  </r>
  <r>
    <x v="236"/>
    <s v="Taxi: Cabinet Maitre BANZOUZI-Domicile"/>
    <s v="Transport"/>
    <s v="Legal"/>
    <x v="306"/>
    <x v="721"/>
    <n v="533.50300000000004"/>
    <s v="Romain"/>
    <s v="RM-S-D1"/>
    <s v="PALF"/>
    <x v="3"/>
    <s v="Congo"/>
    <x v="0"/>
    <x v="0"/>
    <m/>
  </r>
  <r>
    <x v="237"/>
    <s v="Maison-Bureau"/>
    <s v="Transport"/>
    <s v="Management"/>
    <x v="24"/>
    <x v="678"/>
    <n v="533.50300000000004"/>
    <s v="DOVI"/>
    <s v="DH-S-D1"/>
    <s v="PALF"/>
    <x v="3"/>
    <s v="Congo"/>
    <x v="0"/>
    <x v="0"/>
    <m/>
  </r>
  <r>
    <x v="237"/>
    <s v="Bureau- Maison"/>
    <s v="Transport"/>
    <s v="Management"/>
    <x v="24"/>
    <x v="678"/>
    <n v="533.50300000000004"/>
    <s v="DOVI"/>
    <s v="DH-S-D1"/>
    <s v="PALF"/>
    <x v="3"/>
    <s v="Congo"/>
    <x v="0"/>
    <x v="0"/>
    <m/>
  </r>
  <r>
    <x v="237"/>
    <s v="Taxi: Domicile Mayanga-Marché Total pour le bureau préparatifs mission Dolisie."/>
    <s v="Transport"/>
    <s v="Legal"/>
    <x v="120"/>
    <x v="702"/>
    <n v="533.50300000000004"/>
    <s v="Crepin"/>
    <s v="CR-S-D1"/>
    <s v="PALF"/>
    <x v="3"/>
    <s v="Congo"/>
    <x v="0"/>
    <x v="0"/>
    <m/>
  </r>
  <r>
    <x v="237"/>
    <s v="Taxi: Marché Total-Bureau"/>
    <s v="Transport"/>
    <s v="Legal"/>
    <x v="24"/>
    <x v="678"/>
    <n v="533.50300000000004"/>
    <s v="Crepin"/>
    <s v="CR-S-D1"/>
    <s v="PALF"/>
    <x v="3"/>
    <s v="Congo"/>
    <x v="0"/>
    <x v="0"/>
    <m/>
  </r>
  <r>
    <x v="237"/>
    <s v="Taxi: Bureau-Marché Total"/>
    <s v="Transport"/>
    <s v="Legal"/>
    <x v="24"/>
    <x v="678"/>
    <n v="533.50300000000004"/>
    <s v="Crepin"/>
    <s v="CR-S-D1"/>
    <s v="PALF"/>
    <x v="3"/>
    <s v="Congo"/>
    <x v="0"/>
    <x v="0"/>
    <m/>
  </r>
  <r>
    <x v="237"/>
    <s v="Taxi: Marché Total-Domicile"/>
    <s v="Transport"/>
    <s v="Legal"/>
    <x v="120"/>
    <x v="702"/>
    <n v="533.50300000000004"/>
    <s v="Crepin"/>
    <s v="CR-S-D1"/>
    <s v="PALF"/>
    <x v="3"/>
    <s v="Congo"/>
    <x v="0"/>
    <x v="0"/>
    <m/>
  </r>
  <r>
    <x v="237"/>
    <s v="Taxi:Domicile -Bureau"/>
    <s v="Transport"/>
    <s v="Office"/>
    <x v="24"/>
    <x v="678"/>
    <n v="533.50300000000004"/>
    <s v="Parfaite"/>
    <s v="P-S-D1"/>
    <s v="PALF"/>
    <x v="3"/>
    <s v="Congo"/>
    <x v="0"/>
    <x v="0"/>
    <m/>
  </r>
  <r>
    <x v="237"/>
    <s v="Taxi:  Bureau- WESTERN UNION Moungali"/>
    <s v="Transport"/>
    <s v="Office"/>
    <x v="24"/>
    <x v="678"/>
    <n v="533.50300000000004"/>
    <s v="Parfaite"/>
    <s v="P-S-D1"/>
    <s v="PALF"/>
    <x v="3"/>
    <s v="Congo"/>
    <x v="0"/>
    <x v="0"/>
    <m/>
  </r>
  <r>
    <x v="237"/>
    <s v="Taxi:  WESTERN UNION Moungali-WESTERN UNION Mapassi"/>
    <s v="Transport"/>
    <s v="Office"/>
    <x v="294"/>
    <x v="682"/>
    <n v="533.50300000000004"/>
    <s v="Parfaite"/>
    <s v="P-S-D1"/>
    <s v="PALF"/>
    <x v="3"/>
    <s v="Congo"/>
    <x v="0"/>
    <x v="0"/>
    <m/>
  </r>
  <r>
    <x v="237"/>
    <s v="Taxi: WESTERN UNION Mapassi- WESTERN UNION Plateau"/>
    <s v="Transport"/>
    <s v="Office"/>
    <x v="24"/>
    <x v="678"/>
    <n v="533.50300000000004"/>
    <s v="Parfaite"/>
    <s v="P-S-D1"/>
    <s v="PALF"/>
    <x v="3"/>
    <s v="Congo"/>
    <x v="0"/>
    <x v="0"/>
    <m/>
  </r>
  <r>
    <x v="237"/>
    <s v="Taxi:  WESTERN UNION Plateau- Bureau"/>
    <s v="Transport"/>
    <s v="Office"/>
    <x v="24"/>
    <x v="678"/>
    <n v="533.50300000000004"/>
    <s v="Parfaite"/>
    <s v="P-S-D1"/>
    <s v="PALF"/>
    <x v="3"/>
    <s v="Congo"/>
    <x v="0"/>
    <x v="0"/>
    <m/>
  </r>
  <r>
    <x v="237"/>
    <s v="Taxi:   Bureau- Domicile"/>
    <s v="Transport"/>
    <s v="Office"/>
    <x v="24"/>
    <x v="678"/>
    <n v="533.50300000000004"/>
    <s v="Parfaite"/>
    <s v="P-S-D1"/>
    <s v="PALF"/>
    <x v="3"/>
    <s v="Congo"/>
    <x v="0"/>
    <x v="0"/>
    <m/>
  </r>
  <r>
    <x v="237"/>
    <s v="Taxi : hotel pharaon - hotel de P29"/>
    <s v="Transport"/>
    <s v="Investigation"/>
    <x v="24"/>
    <x v="678"/>
    <n v="533.50300000000004"/>
    <s v="T73"/>
    <s v="T73-S-D1"/>
    <s v="PALF"/>
    <x v="3"/>
    <s v="Congo"/>
    <x v="0"/>
    <x v="0"/>
    <m/>
  </r>
  <r>
    <x v="237"/>
    <s v="Taxi : hotel de P29 - hotel pharaon"/>
    <s v="Transport"/>
    <s v="Investigation"/>
    <x v="24"/>
    <x v="678"/>
    <n v="533.50300000000004"/>
    <s v="T73"/>
    <s v="T73-S-D1"/>
    <s v="PALF"/>
    <x v="3"/>
    <s v="Congo"/>
    <x v="0"/>
    <x v="0"/>
    <m/>
  </r>
  <r>
    <x v="237"/>
    <s v="Taxi Domicile-Bureau/ Pour une eventuelle mission"/>
    <s v="Transport "/>
    <s v="Legal"/>
    <x v="24"/>
    <x v="678"/>
    <n v="533.50300000000004"/>
    <s v="Donald-Romeo"/>
    <s v="DR-S-D1"/>
    <s v="PALF"/>
    <x v="3"/>
    <s v="Congo"/>
    <x v="0"/>
    <x v="0"/>
    <m/>
  </r>
  <r>
    <x v="237"/>
    <s v="Taxi Bureau-Domicile"/>
    <s v="Transport "/>
    <s v="Legal"/>
    <x v="24"/>
    <x v="678"/>
    <n v="533.50300000000004"/>
    <s v="Donald-Romeo"/>
    <s v="DR-S-D1"/>
    <s v="PALF"/>
    <x v="3"/>
    <s v="Congo"/>
    <x v="0"/>
    <x v="0"/>
    <m/>
  </r>
  <r>
    <x v="237"/>
    <s v="Taxi, Domicile-Bureau PALF"/>
    <s v="Transport"/>
    <s v="Media"/>
    <x v="24"/>
    <x v="678"/>
    <n v="533.50300000000004"/>
    <s v="Evariste"/>
    <s v="EV-S-D1"/>
    <s v="PALF"/>
    <x v="3"/>
    <s v="Congo"/>
    <x v="0"/>
    <x v="0"/>
    <m/>
  </r>
  <r>
    <x v="237"/>
    <s v="Taxi, Bureau PALF-Domicile"/>
    <s v="Transport"/>
    <s v="Media"/>
    <x v="24"/>
    <x v="678"/>
    <n v="533.50300000000004"/>
    <s v="Evariste"/>
    <s v="EV-S-D1"/>
    <s v="PALF"/>
    <x v="3"/>
    <s v="Congo"/>
    <x v="0"/>
    <x v="0"/>
    <m/>
  </r>
  <r>
    <x v="238"/>
    <s v="Maison-Bureau"/>
    <s v="Transport"/>
    <s v="Management"/>
    <x v="24"/>
    <x v="48"/>
    <n v="533.50300000000004"/>
    <s v="DOVI"/>
    <s v="DH-S-D1"/>
    <s v="PALF"/>
    <x v="3"/>
    <s v="Congo"/>
    <x v="0"/>
    <x v="0"/>
    <m/>
  </r>
  <r>
    <x v="238"/>
    <s v="Bureau -Maison"/>
    <s v="Transport"/>
    <s v="Management"/>
    <x v="24"/>
    <x v="678"/>
    <n v="533.50300000000004"/>
    <s v="DOVI"/>
    <s v="DH-S-D1"/>
    <s v="PALF"/>
    <x v="3"/>
    <s v="Congo"/>
    <x v="0"/>
    <x v="0"/>
    <m/>
  </r>
  <r>
    <x v="238"/>
    <s v="Achat billet Brazzaville- Dolisie/ DOVI"/>
    <s v="Transport"/>
    <s v="Management"/>
    <x v="94"/>
    <x v="730"/>
    <n v="533.50300000000004"/>
    <s v="DOVI"/>
    <s v="DH-S-R5"/>
    <s v="PALF"/>
    <x v="3"/>
    <s v="Congo"/>
    <x v="0"/>
    <x v="0"/>
    <m/>
  </r>
  <r>
    <x v="238"/>
    <s v="Taxi: Domicile Mayanga-Marché Total"/>
    <s v="Transport"/>
    <s v="Legal"/>
    <x v="120"/>
    <x v="702"/>
    <n v="533.50300000000004"/>
    <s v="Crepin"/>
    <s v="CR-S-D1"/>
    <s v="PALF"/>
    <x v="3"/>
    <s v="Congo"/>
    <x v="0"/>
    <x v="0"/>
    <m/>
  </r>
  <r>
    <x v="238"/>
    <s v="Taxi: Marché Total-Bureau"/>
    <s v="Transport"/>
    <s v="Legal"/>
    <x v="24"/>
    <x v="678"/>
    <n v="533.50300000000004"/>
    <s v="Crepin"/>
    <s v="CR-S-D1"/>
    <s v="PALF"/>
    <x v="3"/>
    <s v="Congo"/>
    <x v="0"/>
    <x v="0"/>
    <m/>
  </r>
  <r>
    <x v="238"/>
    <s v="Taxi: Bureau-Agence trans bony achat billets"/>
    <s v="Transport"/>
    <s v="Legal"/>
    <x v="24"/>
    <x v="678"/>
    <n v="533.50300000000004"/>
    <s v="Crepin"/>
    <s v="CR-S-D1"/>
    <s v="PALF"/>
    <x v="3"/>
    <s v="Congo"/>
    <x v="0"/>
    <x v="0"/>
    <m/>
  </r>
  <r>
    <x v="238"/>
    <s v="Taxi: Agence trans bony la frontière-Bureau "/>
    <s v="Transport"/>
    <s v="Legal"/>
    <x v="24"/>
    <x v="678"/>
    <n v="533.50300000000004"/>
    <s v="Crepin"/>
    <s v="CR-S-D1"/>
    <s v="PALF"/>
    <x v="3"/>
    <s v="Congo"/>
    <x v="0"/>
    <x v="0"/>
    <m/>
  </r>
  <r>
    <x v="238"/>
    <s v="Taxi: Bureau-Marché Total"/>
    <s v="Transport"/>
    <s v="Legal"/>
    <x v="24"/>
    <x v="678"/>
    <n v="533.50300000000004"/>
    <s v="Crepin"/>
    <s v="CR-S-D1"/>
    <s v="PALF"/>
    <x v="3"/>
    <s v="Congo"/>
    <x v="0"/>
    <x v="0"/>
    <m/>
  </r>
  <r>
    <x v="238"/>
    <s v="Taxi: Marché Total-Domicile Mayanga."/>
    <s v="Transport"/>
    <s v="Legal"/>
    <x v="120"/>
    <x v="702"/>
    <n v="533.50300000000004"/>
    <s v="Crepin"/>
    <s v="CR-S-D1"/>
    <s v="PALF"/>
    <x v="3"/>
    <s v="Congo"/>
    <x v="0"/>
    <x v="0"/>
    <m/>
  </r>
  <r>
    <x v="238"/>
    <s v="Achat Billet Brazzaville-Dolisie/ CREPIN"/>
    <s v="Transport"/>
    <s v="Legal"/>
    <x v="94"/>
    <x v="730"/>
    <n v="533.50300000000004"/>
    <s v="Crepin"/>
    <s v="CR-S-R11"/>
    <s v="PALF"/>
    <x v="3"/>
    <s v="Congo"/>
    <x v="0"/>
    <x v="0"/>
    <m/>
  </r>
  <r>
    <x v="238"/>
    <s v="Taxi:  Domicile- Western Union Plateau"/>
    <s v="Transport"/>
    <s v="Office"/>
    <x v="24"/>
    <x v="608"/>
    <n v="560.94200000000001"/>
    <s v="Parfaite"/>
    <s v="P-S-D1"/>
    <s v="PALF"/>
    <x v="5"/>
    <s v="Congo"/>
    <x v="0"/>
    <x v="0"/>
    <m/>
  </r>
  <r>
    <x v="238"/>
    <s v="Taxi:   Bureau- Domicile"/>
    <s v="Transport"/>
    <s v="Office"/>
    <x v="24"/>
    <x v="608"/>
    <n v="560.94200000000001"/>
    <s v="Parfaite"/>
    <s v="P-S-D1"/>
    <s v="PALF"/>
    <x v="5"/>
    <s v="Congo"/>
    <x v="0"/>
    <x v="0"/>
    <m/>
  </r>
  <r>
    <x v="238"/>
    <s v="Taxi : hotel pharaon - la gare centrale ( rendez-vous avec la cible)"/>
    <s v="Transport"/>
    <s v="Investigation"/>
    <x v="24"/>
    <x v="608"/>
    <n v="560.94200000000001"/>
    <s v="T73"/>
    <s v="T73-S-D1"/>
    <s v="PALF"/>
    <x v="5"/>
    <s v="Congo"/>
    <x v="0"/>
    <x v="0"/>
    <m/>
  </r>
  <r>
    <x v="238"/>
    <s v="Taxi : la gare centrale - centre ville (extraction)"/>
    <s v="Transport"/>
    <s v="Investigation"/>
    <x v="24"/>
    <x v="608"/>
    <n v="560.94200000000001"/>
    <s v="T73"/>
    <s v="T73-S-D1"/>
    <s v="PALF"/>
    <x v="5"/>
    <s v="Congo"/>
    <x v="0"/>
    <x v="0"/>
    <m/>
  </r>
  <r>
    <x v="238"/>
    <s v="Taxi : centre ville - tsila (extraction)"/>
    <s v="Transport"/>
    <s v="Investigation"/>
    <x v="24"/>
    <x v="608"/>
    <n v="560.94200000000001"/>
    <s v="T73"/>
    <s v="T73-S-D1"/>
    <s v="PALF"/>
    <x v="5"/>
    <s v="Congo"/>
    <x v="0"/>
    <x v="0"/>
    <m/>
  </r>
  <r>
    <x v="238"/>
    <s v="Taxi : tsila - hotel de P29 (extraction)"/>
    <s v="Transport"/>
    <s v="Investigation"/>
    <x v="24"/>
    <x v="608"/>
    <n v="560.94200000000001"/>
    <s v="T73"/>
    <s v="T73-S-D1"/>
    <s v="PALF"/>
    <x v="5"/>
    <s v="Congo"/>
    <x v="0"/>
    <x v="0"/>
    <m/>
  </r>
  <r>
    <x v="238"/>
    <s v="Taxi : hotel de P29 - hotel pharaon (fin de journée)"/>
    <s v="Transport"/>
    <s v="Investigation"/>
    <x v="24"/>
    <x v="48"/>
    <n v="560.94200000000001"/>
    <s v="T73"/>
    <s v="T73-S-D1"/>
    <s v="PALF"/>
    <x v="5"/>
    <s v="Congo"/>
    <x v="0"/>
    <x v="0"/>
    <m/>
  </r>
  <r>
    <x v="238"/>
    <s v="achat boisson/2cible"/>
    <s v="Trust Building"/>
    <s v="Investigation"/>
    <x v="306"/>
    <x v="633"/>
    <n v="560.94200000000001"/>
    <s v="T73"/>
    <s v="T73-S-D3"/>
    <s v="PALF"/>
    <x v="5"/>
    <s v="Congo"/>
    <x v="0"/>
    <x v="0"/>
    <m/>
  </r>
  <r>
    <x v="238"/>
    <s v="Taxi Domicile-Bureau/ Pour preparer la mission sur Dolisie"/>
    <s v="Transport "/>
    <s v="Legal"/>
    <x v="24"/>
    <x v="608"/>
    <n v="560.94200000000001"/>
    <s v="Donald-Romeo"/>
    <s v="DR-S-D1"/>
    <s v="PALF"/>
    <x v="5"/>
    <s v="Congo"/>
    <x v="0"/>
    <x v="0"/>
    <m/>
  </r>
  <r>
    <x v="238"/>
    <s v="Achat billet Brazzaville-Dolisie/ Donald-Roméo"/>
    <s v="Transport "/>
    <s v="Legal"/>
    <x v="94"/>
    <x v="641"/>
    <n v="560.94200000000001"/>
    <s v="Donald-Romeo"/>
    <s v="DR-S-R8"/>
    <s v="PALF"/>
    <x v="5"/>
    <s v="Congo"/>
    <x v="0"/>
    <x v="0"/>
    <m/>
  </r>
  <r>
    <x v="238"/>
    <s v="Taxi Bureau-Domicile"/>
    <s v="Transport "/>
    <s v="Legal"/>
    <x v="24"/>
    <x v="608"/>
    <n v="560.94200000000001"/>
    <s v="Donald-Romeo"/>
    <s v="DR-S-D1"/>
    <s v="PALF"/>
    <x v="5"/>
    <s v="Congo"/>
    <x v="0"/>
    <x v="0"/>
    <m/>
  </r>
  <r>
    <x v="238"/>
    <s v="Taxi, Domicile-Bureau PALF"/>
    <s v="Transport"/>
    <s v="Media"/>
    <x v="24"/>
    <x v="608"/>
    <n v="560.94200000000001"/>
    <s v="Evariste"/>
    <s v="EV-S-D1"/>
    <s v="PALF"/>
    <x v="5"/>
    <s v="Congo"/>
    <x v="0"/>
    <x v="0"/>
    <m/>
  </r>
  <r>
    <x v="238"/>
    <s v="Achat billet Brazzaville-Dolisie"/>
    <s v="Transport"/>
    <s v="Media"/>
    <x v="94"/>
    <x v="641"/>
    <n v="560.94200000000001"/>
    <s v="Evariste"/>
    <s v="EV-S-R9"/>
    <s v="PALF"/>
    <x v="5"/>
    <s v="Congo"/>
    <x v="0"/>
    <x v="0"/>
    <m/>
  </r>
  <r>
    <x v="238"/>
    <s v="Taxi, Bureau PALF-Domicile"/>
    <s v="Transport"/>
    <s v="Media"/>
    <x v="24"/>
    <x v="608"/>
    <n v="560.94200000000001"/>
    <s v="Evariste"/>
    <s v="EV-S-D1"/>
    <s v="PALF"/>
    <x v="5"/>
    <s v="Congo"/>
    <x v="0"/>
    <x v="0"/>
    <m/>
  </r>
  <r>
    <x v="239"/>
    <s v="Maison-Transbony (Départ pour Dolisie)"/>
    <s v="Transport"/>
    <s v="Management"/>
    <x v="24"/>
    <x v="608"/>
    <n v="560.94200000000001"/>
    <s v="DOVI"/>
    <s v="DH-S-D1"/>
    <s v="PALF"/>
    <x v="5"/>
    <s v="Congo"/>
    <x v="0"/>
    <x v="0"/>
    <m/>
  </r>
  <r>
    <x v="239"/>
    <s v="Credit telephonique MTN/PALF/ du 29 septembre au 05 octobre 2025/DOVI"/>
    <s v="Telephone"/>
    <s v="Management"/>
    <x v="48"/>
    <x v="731"/>
    <n v="560.94200000000001"/>
    <s v="DOVI"/>
    <s v="DH-S-R6"/>
    <s v="PALF"/>
    <x v="5"/>
    <s v="Congo"/>
    <x v="0"/>
    <x v="0"/>
    <m/>
  </r>
  <r>
    <x v="239"/>
    <s v="Ration du 29/09 au 02/ 10/ 2025 à Dolisie"/>
    <s v="Travel Subsistence"/>
    <s v="Management"/>
    <x v="44"/>
    <x v="645"/>
    <n v="560.94200000000001"/>
    <s v="DOVI"/>
    <s v="DH-S-D1"/>
    <s v="PALF"/>
    <x v="5"/>
    <s v="Congo"/>
    <x v="0"/>
    <x v="0"/>
    <m/>
  </r>
  <r>
    <x v="239"/>
    <s v="Credit telephonique MTN PALF/du 29 septembre au 05 octobre 2025/ crepin"/>
    <s v="Telephone"/>
    <s v="Legal"/>
    <x v="4"/>
    <x v="626"/>
    <n v="560.94200000000001"/>
    <s v="Crepin"/>
    <s v="CR-S-R12"/>
    <s v="PALF"/>
    <x v="5"/>
    <s v="Congo"/>
    <x v="0"/>
    <x v="0"/>
    <m/>
  </r>
  <r>
    <x v="239"/>
    <s v="CREPIN-CONGO Ration du 29 /09 au 05/10/2025 à Dolisie"/>
    <s v="Travel Subsistence"/>
    <s v="Legal"/>
    <x v="23"/>
    <x v="685"/>
    <n v="560.94200000000001"/>
    <s v="Crepin"/>
    <s v="CR-S-D3"/>
    <s v="PALF"/>
    <x v="5"/>
    <s v="Congo"/>
    <x v="0"/>
    <x v="0"/>
    <m/>
  </r>
  <r>
    <x v="239"/>
    <s v="Taxi: Domicile Mayanga-Agence Trans Bony la Frontière"/>
    <s v="Transport"/>
    <s v="Legal"/>
    <x v="75"/>
    <x v="616"/>
    <n v="560.94200000000001"/>
    <s v="Crepin"/>
    <s v="CR-S-D1"/>
    <s v="PALF"/>
    <x v="5"/>
    <s v="Congo"/>
    <x v="0"/>
    <x v="0"/>
    <m/>
  </r>
  <r>
    <x v="239"/>
    <s v="Taxi:  Domicile- Direction MTN/Achat crédits  Bureau PALF"/>
    <s v="Transport"/>
    <s v="Office"/>
    <x v="120"/>
    <x v="614"/>
    <n v="560.94200000000001"/>
    <s v="Parfaite"/>
    <s v="P-S-D1"/>
    <s v="PALF"/>
    <x v="5"/>
    <s v="Congo"/>
    <x v="0"/>
    <x v="0"/>
    <m/>
  </r>
  <r>
    <x v="239"/>
    <s v="Taxi:   Direction MTN- Banque/Demande de positionnement de fond dans le compte PALF"/>
    <s v="Transport"/>
    <s v="Office"/>
    <x v="294"/>
    <x v="618"/>
    <n v="560.94200000000001"/>
    <s v="Parfaite"/>
    <s v="P-S-D1"/>
    <s v="PALF"/>
    <x v="5"/>
    <s v="Congo"/>
    <x v="0"/>
    <x v="0"/>
    <m/>
  </r>
  <r>
    <x v="239"/>
    <s v="Taxi:  Banque BCI - Bureau"/>
    <s v="Transport"/>
    <s v="Office"/>
    <x v="120"/>
    <x v="614"/>
    <n v="560.94200000000001"/>
    <s v="Parfaite"/>
    <s v="P-S-D1"/>
    <s v="PALF"/>
    <x v="5"/>
    <s v="Congo"/>
    <x v="0"/>
    <x v="0"/>
    <m/>
  </r>
  <r>
    <x v="239"/>
    <s v="Credit teléphonique MTN PALF/ du 29  septembre au 05 octobre 2025/ Parfaite"/>
    <s v="Telephone"/>
    <s v="Management"/>
    <x v="55"/>
    <x v="643"/>
    <n v="560.94200000000001"/>
    <s v="Parfaite"/>
    <s v="P-S-R4"/>
    <s v="PALF"/>
    <x v="5"/>
    <s v="Congo"/>
    <x v="0"/>
    <x v="0"/>
    <m/>
  </r>
  <r>
    <x v="239"/>
    <s v="Taxi hotel-hotel la gloire,réservation équipe op"/>
    <s v="Transport"/>
    <s v="Investigation"/>
    <x v="24"/>
    <x v="608"/>
    <n v="560.94200000000001"/>
    <s v="P29"/>
    <s v="P29-S-D1"/>
    <s v="PALF"/>
    <x v="5"/>
    <s v="Congo"/>
    <x v="0"/>
    <x v="0"/>
    <m/>
  </r>
  <r>
    <x v="239"/>
    <s v="Taxi hotel la gloire-hotel yasmine,reservation chambre op"/>
    <s v="Transport"/>
    <s v="Investigation"/>
    <x v="24"/>
    <x v="608"/>
    <n v="560.94200000000001"/>
    <s v="P29"/>
    <s v="P29-S-D1"/>
    <s v="PALF"/>
    <x v="5"/>
    <s v="Congo"/>
    <x v="0"/>
    <x v="0"/>
    <m/>
  </r>
  <r>
    <x v="239"/>
    <s v="Taxi  hotel yasmine-mabidi"/>
    <s v="Transport"/>
    <s v="Investigation"/>
    <x v="24"/>
    <x v="608"/>
    <n v="560.94200000000001"/>
    <s v="P29"/>
    <s v="P29-S-D1"/>
    <s v="PALF"/>
    <x v="5"/>
    <s v="Congo"/>
    <x v="0"/>
    <x v="0"/>
    <m/>
  </r>
  <r>
    <x v="239"/>
    <s v="Taxi hotel mabidi-sab,chercher l'équipe pour installation"/>
    <s v="Transport"/>
    <s v="Investigation"/>
    <x v="24"/>
    <x v="608"/>
    <n v="560.94200000000001"/>
    <s v="P29"/>
    <s v="P29-S-D1"/>
    <s v="PALF"/>
    <x v="5"/>
    <s v="Congo"/>
    <x v="0"/>
    <x v="0"/>
    <m/>
  </r>
  <r>
    <x v="239"/>
    <s v="Taxi sab-yasmine,installé l'équipe"/>
    <s v="Transport"/>
    <s v="Investigation"/>
    <x v="24"/>
    <x v="608"/>
    <n v="560.94200000000001"/>
    <s v="P29"/>
    <s v="P29-S-D1"/>
    <s v="PALF"/>
    <x v="5"/>
    <s v="Congo"/>
    <x v="0"/>
    <x v="0"/>
    <m/>
  </r>
  <r>
    <x v="239"/>
    <s v="Taxi hotel yasmine-hotel mabidi"/>
    <s v="Transport"/>
    <s v="Investigation"/>
    <x v="24"/>
    <x v="608"/>
    <n v="560.94200000000001"/>
    <s v="P29"/>
    <s v="P29-S-D1"/>
    <s v="PALF"/>
    <x v="5"/>
    <s v="Congo"/>
    <x v="0"/>
    <x v="0"/>
    <m/>
  </r>
  <r>
    <x v="239"/>
    <s v="Credit telephonique MTN PALF/ du 29 Septembre  au 05 octobre 2025/ Investigation/P29"/>
    <s v="Telephone"/>
    <s v="Investigation"/>
    <x v="4"/>
    <x v="626"/>
    <n v="560.94200000000001"/>
    <s v="P29"/>
    <s v="P29-S-R10"/>
    <s v="PALF"/>
    <x v="5"/>
    <s v="Congo"/>
    <x v="0"/>
    <x v="0"/>
    <m/>
  </r>
  <r>
    <x v="239"/>
    <s v="taxi : hotel pharaon - centre ville (rendez - vous avec la cibe)"/>
    <s v="Transport"/>
    <s v="Investigation"/>
    <x v="24"/>
    <x v="608"/>
    <n v="560.94200000000001"/>
    <s v="T73"/>
    <s v="T73-S-D1"/>
    <s v="PALF"/>
    <x v="5"/>
    <s v="Congo"/>
    <x v="0"/>
    <x v="0"/>
    <m/>
  </r>
  <r>
    <x v="239"/>
    <s v="taxi : centre ville - mont fleury (extraction)"/>
    <s v="Transport"/>
    <s v="Investigation"/>
    <x v="24"/>
    <x v="608"/>
    <n v="560.94200000000001"/>
    <s v="T73"/>
    <s v="T73-S-D1"/>
    <s v="PALF"/>
    <x v="5"/>
    <s v="Congo"/>
    <x v="0"/>
    <x v="0"/>
    <m/>
  </r>
  <r>
    <x v="239"/>
    <s v="taxi : mont fleury - la gare centrale(extraction)"/>
    <s v="Transport"/>
    <s v="Investigation"/>
    <x v="24"/>
    <x v="608"/>
    <n v="560.94200000000001"/>
    <s v="T73"/>
    <s v="T73-S-D1"/>
    <s v="PALF"/>
    <x v="5"/>
    <s v="Congo"/>
    <x v="0"/>
    <x v="0"/>
    <m/>
  </r>
  <r>
    <x v="239"/>
    <s v="taxi : la gare centrale - grand marché (extraction)"/>
    <s v="Transport"/>
    <s v="Investigation"/>
    <x v="24"/>
    <x v="608"/>
    <n v="560.94200000000001"/>
    <s v="T73"/>
    <s v="T73-S-D1"/>
    <s v="PALF"/>
    <x v="5"/>
    <s v="Congo"/>
    <x v="0"/>
    <x v="0"/>
    <m/>
  </r>
  <r>
    <x v="239"/>
    <s v="taxi : grand marché - hotel pharaon (fin de journée)"/>
    <s v="Transport"/>
    <s v="Investigation"/>
    <x v="24"/>
    <x v="608"/>
    <n v="560.94200000000001"/>
    <s v="T73"/>
    <s v="T73-S-D1"/>
    <s v="PALF"/>
    <x v="5"/>
    <s v="Congo"/>
    <x v="0"/>
    <x v="0"/>
    <m/>
  </r>
  <r>
    <x v="239"/>
    <s v="achat boissons et nourriture/3 cibles"/>
    <s v="Trust Building"/>
    <s v="Investigation"/>
    <x v="48"/>
    <x v="731"/>
    <n v="560.94200000000001"/>
    <s v="T73"/>
    <s v="T73-S-D3"/>
    <s v="PALF"/>
    <x v="5"/>
    <s v="Congo"/>
    <x v="0"/>
    <x v="0"/>
    <m/>
  </r>
  <r>
    <x v="239"/>
    <s v="Credit telephonique MTN PALF/ du 29 septembre au 05 octobre 2025/ Investigation/T73"/>
    <s v="Telephone"/>
    <s v="Investigation"/>
    <x v="4"/>
    <x v="626"/>
    <n v="560.94200000000001"/>
    <s v="T73"/>
    <s v="T73-S-R10"/>
    <s v="PALF"/>
    <x v="5"/>
    <s v="Congo"/>
    <x v="0"/>
    <x v="0"/>
    <m/>
  </r>
  <r>
    <x v="239"/>
    <s v="Credit telephonique MTN PALF/du 29 septembre au 05 octobre 2025/IT87"/>
    <s v="Telephone"/>
    <s v="Investigation"/>
    <x v="4"/>
    <x v="626"/>
    <n v="560.94200000000001"/>
    <s v="IT87"/>
    <s v="IT87-S-R10"/>
    <s v="PALF"/>
    <x v="5"/>
    <s v="Congo"/>
    <x v="0"/>
    <x v="0"/>
    <m/>
  </r>
  <r>
    <x v="239"/>
    <s v="Credit telephonique MTN PALF/du 29 septembre au 05 octobre 2025/G12"/>
    <s v="Telephone"/>
    <s v="Investigation"/>
    <x v="4"/>
    <x v="626"/>
    <n v="560.94200000000001"/>
    <s v="G12"/>
    <s v="G12-S-R4"/>
    <s v="PALF"/>
    <x v="5"/>
    <s v="Congo"/>
    <x v="0"/>
    <x v="0"/>
    <m/>
  </r>
  <r>
    <x v="239"/>
    <s v="Credit telephonique MTN PALF/ du 29 septembre au 05 octobre 2025/Abraham"/>
    <s v="Telephone"/>
    <s v="Legal"/>
    <x v="55"/>
    <x v="643"/>
    <n v="560.94200000000001"/>
    <s v="Abraham"/>
    <s v="AB-S-R4"/>
    <s v="PALF"/>
    <x v="5"/>
    <s v="Congo"/>
    <x v="0"/>
    <x v="0"/>
    <m/>
  </r>
  <r>
    <x v="239"/>
    <s v="Credit telephonique MTN PALF/du 29 Septembre au 05 octobre 2025/Roderlin"/>
    <s v="Telephone"/>
    <s v="Legal"/>
    <x v="55"/>
    <x v="643"/>
    <n v="560.94200000000001"/>
    <s v="Roderlin"/>
    <s v="RO-S-R8"/>
    <s v="PALF"/>
    <x v="5"/>
    <s v="Congo"/>
    <x v="0"/>
    <x v="0"/>
    <m/>
  </r>
  <r>
    <x v="239"/>
    <s v="Taxi Domicile-Agence Trans Bony de la frontière/ Pour Dolisie"/>
    <s v="Transport "/>
    <s v="Legal"/>
    <x v="24"/>
    <x v="608"/>
    <n v="560.94200000000001"/>
    <s v="Donald-Romeo"/>
    <s v="DR-S-D1"/>
    <s v="PALF"/>
    <x v="5"/>
    <s v="Congo"/>
    <x v="0"/>
    <x v="0"/>
    <m/>
  </r>
  <r>
    <x v="239"/>
    <s v="Credit telephonique MTN PALF/ du 29 au 05  septembre 2025"/>
    <s v="Telephone"/>
    <s v="Legal"/>
    <x v="4"/>
    <x v="626"/>
    <n v="560.94200000000001"/>
    <s v="Donald-Romeo"/>
    <s v="DR-S-R9"/>
    <s v="PALF"/>
    <x v="5"/>
    <s v="Congo"/>
    <x v="0"/>
    <x v="0"/>
    <m/>
  </r>
  <r>
    <x v="239"/>
    <s v="Taxi Agence Trans Bony de Dolisie-Hôtel Yasmine/ Crepin/ Evariste/Dovi/Donald"/>
    <s v="Transport "/>
    <s v="Legal"/>
    <x v="24"/>
    <x v="608"/>
    <n v="560.94200000000001"/>
    <s v="Donald-Romeo"/>
    <s v="DR-S-D1"/>
    <s v="PALF"/>
    <x v="5"/>
    <s v="Congo"/>
    <x v="0"/>
    <x v="0"/>
    <m/>
  </r>
  <r>
    <x v="239"/>
    <s v="Donald-Roméo CONGO Ration  du  29/09 au 05/10/2025 à Dolisie"/>
    <s v="Travel Subsistence"/>
    <s v="Legal"/>
    <x v="23"/>
    <x v="685"/>
    <n v="560.94200000000001"/>
    <s v="Donald-Romeo"/>
    <s v="DR-S-D3"/>
    <s v="PALF"/>
    <x v="5"/>
    <s v="Congo"/>
    <x v="0"/>
    <x v="0"/>
    <m/>
  </r>
  <r>
    <x v="239"/>
    <s v="Taxi, Domicile-Agence Trans Bony de Brazzaville"/>
    <s v="Transport"/>
    <s v="Media"/>
    <x v="24"/>
    <x v="608"/>
    <n v="560.94200000000001"/>
    <s v="Evariste"/>
    <s v="EV-S-D1"/>
    <s v="PALF"/>
    <x v="5"/>
    <s v="Congo"/>
    <x v="0"/>
    <x v="0"/>
    <m/>
  </r>
  <r>
    <x v="239"/>
    <s v="Credit telephonique MTN PALF/du 29 septembre au 05 octobre 2025/ Evariste"/>
    <s v="Telephone"/>
    <s v="Media"/>
    <x v="4"/>
    <x v="626"/>
    <n v="560.94200000000001"/>
    <s v="Evariste"/>
    <s v="EV-S-R10"/>
    <s v="PALF"/>
    <x v="5"/>
    <s v="Congo"/>
    <x v="0"/>
    <x v="0"/>
    <m/>
  </r>
  <r>
    <x v="239"/>
    <s v="Ration du 29 septembre au 05 octobre 2025"/>
    <s v="Travel Subsistence"/>
    <s v="Media"/>
    <x v="23"/>
    <x v="685"/>
    <n v="560.94200000000001"/>
    <s v="Evariste"/>
    <s v="EV-S-D2"/>
    <s v="PALF"/>
    <x v="5"/>
    <s v="Congo"/>
    <x v="0"/>
    <x v="0"/>
    <m/>
  </r>
  <r>
    <x v="239"/>
    <s v="Taxi: Bureau-Station PUMA Service pour l'achat du carburant"/>
    <s v="Transport"/>
    <s v="Legal"/>
    <x v="120"/>
    <x v="614"/>
    <n v="560.94200000000001"/>
    <s v="Romain"/>
    <s v="RM-S-D1"/>
    <s v="PALF"/>
    <x v="5"/>
    <s v="Congo"/>
    <x v="0"/>
    <x v="0"/>
    <m/>
  </r>
  <r>
    <x v="239"/>
    <s v="Taxi: Station PUMA Service"/>
    <s v="Transport"/>
    <s v="Legal"/>
    <x v="120"/>
    <x v="614"/>
    <n v="560.94200000000001"/>
    <s v="Romain"/>
    <s v="RM-S-D1"/>
    <s v="PALF"/>
    <x v="5"/>
    <s v="Congo"/>
    <x v="0"/>
    <x v="0"/>
    <m/>
  </r>
  <r>
    <x v="239"/>
    <s v="Achat carburant groupe electrogène Bureau "/>
    <s v="Office Materiels"/>
    <s v="Office"/>
    <x v="345"/>
    <x v="732"/>
    <n v="560.94200000000001"/>
    <s v="Romain"/>
    <s v="CA-S-R23"/>
    <s v="PALF"/>
    <x v="5"/>
    <s v="Congo"/>
    <x v="0"/>
    <x v="0"/>
    <m/>
  </r>
  <r>
    <x v="239"/>
    <s v="Credit telephonique MTN PALF/du 29 Septembre au 05 Octobre 2025/Romain"/>
    <s v="Telephone"/>
    <s v="Legal"/>
    <x v="55"/>
    <x v="643"/>
    <n v="560.94200000000001"/>
    <s v="Romain"/>
    <s v="RM-S-R4"/>
    <s v="PALF"/>
    <x v="5"/>
    <s v="Congo"/>
    <x v="0"/>
    <x v="0"/>
    <m/>
  </r>
  <r>
    <x v="239"/>
    <s v="RAPATRIEME01100 RAO00010914/Fondation Wildcat"/>
    <s v="Grant"/>
    <m/>
    <x v="47"/>
    <x v="233"/>
    <n v="533.50316666666663"/>
    <s v="BCI"/>
    <s v="BQ-S-G1"/>
    <s v="PALF"/>
    <x v="5"/>
    <s v="Congo"/>
    <x v="10"/>
    <x v="6"/>
    <m/>
  </r>
  <r>
    <x v="239"/>
    <s v="RAPATRIEME01100 RAO00010914/Fondation de la Famille Dahan(DFF)"/>
    <s v="Grant"/>
    <m/>
    <x v="47"/>
    <x v="233"/>
    <n v="533.50309090909093"/>
    <s v="BCI"/>
    <s v="BQ-S-G2"/>
    <s v="PALF"/>
    <x v="7"/>
    <s v="Congo"/>
    <x v="11"/>
    <x v="7"/>
    <m/>
  </r>
  <r>
    <x v="239"/>
    <s v="RAPATRIEME01100 RAO00010914/Fondation OAT"/>
    <s v="Grant"/>
    <m/>
    <x v="47"/>
    <x v="233"/>
    <n v="533.50316666666663"/>
    <s v="BCI"/>
    <s v="BQ-S-G3"/>
    <s v="PALF"/>
    <x v="3"/>
    <s v="Congo"/>
    <x v="12"/>
    <x v="8"/>
    <m/>
  </r>
  <r>
    <x v="240"/>
    <s v="Taxi:  Bureau-Banque BCI/ Retrait espèce"/>
    <s v="Transport"/>
    <s v="Office"/>
    <x v="24"/>
    <x v="608"/>
    <n v="560.94200000000001"/>
    <s v="Parfaite"/>
    <s v="P-S-D1"/>
    <s v="PALF"/>
    <x v="5"/>
    <s v="Congo"/>
    <x v="0"/>
    <x v="0"/>
    <m/>
  </r>
  <r>
    <x v="240"/>
    <s v="Taxi:  Banque BCI -Agence western union/ transfert d'argent à Jana et Lydia"/>
    <s v="Transport"/>
    <s v="Office"/>
    <x v="294"/>
    <x v="618"/>
    <n v="560.94200000000001"/>
    <s v="Parfaite"/>
    <s v="P-S-D1"/>
    <s v="PALF"/>
    <x v="5"/>
    <s v="Congo"/>
    <x v="0"/>
    <x v="0"/>
    <m/>
  </r>
  <r>
    <x v="240"/>
    <s v="Taxi: Agence western union-Bureau"/>
    <s v="Transport"/>
    <s v="Office"/>
    <x v="24"/>
    <x v="608"/>
    <n v="560.94200000000001"/>
    <s v="Parfaite"/>
    <s v="P-S-D1"/>
    <s v="PALF"/>
    <x v="5"/>
    <s v="Congo"/>
    <x v="0"/>
    <x v="0"/>
    <m/>
  </r>
  <r>
    <x v="240"/>
    <s v="Taxi:Bureau- Direction Canal Box/ Paiement internet du mois d'octobre 2025"/>
    <s v="Transport"/>
    <s v="Office"/>
    <x v="24"/>
    <x v="608"/>
    <n v="560.94200000000001"/>
    <s v="Parfaite"/>
    <s v="P-S-D1"/>
    <s v="PALF"/>
    <x v="5"/>
    <s v="Congo"/>
    <x v="0"/>
    <x v="0"/>
    <m/>
  </r>
  <r>
    <x v="240"/>
    <s v="Frais de tansfert d'argent  à Jana et Lydia"/>
    <s v="Transfert fees"/>
    <s v="Office"/>
    <x v="346"/>
    <x v="733"/>
    <n v="560.94200000000001"/>
    <s v="Parfaite"/>
    <s v="CA-S-R24"/>
    <s v="PALF"/>
    <x v="5"/>
    <s v="Congo"/>
    <x v="0"/>
    <x v="0"/>
    <m/>
  </r>
  <r>
    <x v="240"/>
    <s v="Reglement facture internet periode du 01/10 au 31/10/2025 bureau PALF"/>
    <s v="Internet"/>
    <s v="Office"/>
    <x v="87"/>
    <x v="672"/>
    <n v="560.94200000000001"/>
    <s v="Parfaite"/>
    <s v="CA-S-R25"/>
    <s v="PALF"/>
    <x v="5"/>
    <s v="Congo"/>
    <x v="0"/>
    <x v="0"/>
    <m/>
  </r>
  <r>
    <x v="240"/>
    <s v="Taxi: Direction Canal Box-Bureau/ Paiement internet du mois d'octobre 2025"/>
    <s v="Transport"/>
    <s v="Office"/>
    <x v="24"/>
    <x v="608"/>
    <n v="560.94200000000001"/>
    <s v="Parfaite"/>
    <s v="P-S-D1"/>
    <s v="PALF"/>
    <x v="5"/>
    <s v="Congo"/>
    <x v="0"/>
    <x v="0"/>
    <m/>
  </r>
  <r>
    <x v="240"/>
    <s v="P29 -CONGO Frais d'hotel du 04 au 30/09/2025 à  Dolisie (26 Nuitées)"/>
    <s v="Travel Subsistence"/>
    <s v="Investigation"/>
    <x v="347"/>
    <x v="734"/>
    <n v="560.94200000000001"/>
    <s v="P29"/>
    <s v="P29-S-R11"/>
    <s v="PALF"/>
    <x v="5"/>
    <s v="Congo"/>
    <x v="0"/>
    <x v="0"/>
    <m/>
  </r>
  <r>
    <x v="240"/>
    <s v="Taxi hotel mabedi-hotel yasmine,reunion avec le coordinateur"/>
    <s v="Transport"/>
    <s v="Investigation"/>
    <x v="24"/>
    <x v="608"/>
    <n v="560.94200000000001"/>
    <s v="P29"/>
    <s v="P29-S-D1"/>
    <s v="PALF"/>
    <x v="5"/>
    <s v="Congo"/>
    <x v="0"/>
    <x v="0"/>
    <m/>
  </r>
  <r>
    <x v="240"/>
    <s v="Taxi hotel yasmine-hotel mabidi"/>
    <s v="Transport"/>
    <s v="Investigation"/>
    <x v="24"/>
    <x v="608"/>
    <n v="560.94200000000001"/>
    <s v="P29"/>
    <s v="P29-S-D1"/>
    <s v="PALF"/>
    <x v="5"/>
    <s v="Congo"/>
    <x v="0"/>
    <x v="0"/>
    <m/>
  </r>
  <r>
    <x v="240"/>
    <s v=" Taxi :hotel pharaon - hotel yasmine ( rendez vous avec le coordo)"/>
    <s v="Transport"/>
    <s v="Investigation"/>
    <x v="24"/>
    <x v="608"/>
    <n v="560.94200000000001"/>
    <s v="T73"/>
    <s v="T73-S-D1"/>
    <s v="PALF"/>
    <x v="5"/>
    <s v="Congo"/>
    <x v="0"/>
    <x v="0"/>
    <m/>
  </r>
  <r>
    <x v="240"/>
    <s v=" Taxi : hotel yasmine - hotel pharaon( rendez vous avec le coordo)"/>
    <s v="Transport"/>
    <s v="Investigation"/>
    <x v="24"/>
    <x v="608"/>
    <n v="560.94200000000001"/>
    <s v="T73"/>
    <s v="T73-S-D1"/>
    <s v="PALF"/>
    <x v="5"/>
    <s v="Congo"/>
    <x v="0"/>
    <x v="0"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09">
  <r>
    <d v="2025-09-01T00:00:00"/>
    <s v="Maison-Bureau"/>
    <x v="0"/>
    <x v="0"/>
    <n v="1000"/>
    <n v="1.8744037053212446"/>
    <n v="533.50300000000004"/>
    <x v="0"/>
    <s v="DH-S-D1"/>
    <s v="PALF"/>
    <s v="Dahan"/>
    <s v="CONGO"/>
    <m/>
    <m/>
    <m/>
  </r>
  <r>
    <d v="2025-09-01T00:00:00"/>
    <s v="Bureau-Maison"/>
    <x v="0"/>
    <x v="0"/>
    <n v="1000"/>
    <n v="1.8744037053212446"/>
    <n v="533.50300000000004"/>
    <x v="0"/>
    <s v="DH-S-D1"/>
    <s v="PALF"/>
    <s v="Dahan"/>
    <s v="CONGO"/>
    <m/>
    <m/>
    <m/>
  </r>
  <r>
    <d v="2025-09-01T00:00:00"/>
    <s v="Credit telephonique MTN/PALF/ du 01 au 07 Septembre 2025/DOVI"/>
    <x v="1"/>
    <x v="0"/>
    <n v="12500"/>
    <n v="23.430046316515558"/>
    <n v="533.50300000000004"/>
    <x v="0"/>
    <s v="DH-S-R1"/>
    <s v="PALF"/>
    <s v="Dahan"/>
    <s v="CONGO"/>
    <m/>
    <m/>
    <m/>
  </r>
  <r>
    <d v="2025-09-01T00:00:00"/>
    <s v="CREPIN-CONGO Ration du 02 au 14/09/2025 à Impfondo"/>
    <x v="2"/>
    <x v="1"/>
    <n v="120000"/>
    <n v="224.92844463854934"/>
    <n v="533.50300000000004"/>
    <x v="1"/>
    <s v="CR-S-D2"/>
    <s v="PALF"/>
    <s v="Dahan"/>
    <s v="CONGO"/>
    <m/>
    <m/>
    <m/>
  </r>
  <r>
    <d v="2025-09-01T00:00:00"/>
    <s v="Credit telephonique MTN PALF/du 01 au 07 septembre 2025/ crepin"/>
    <x v="1"/>
    <x v="1"/>
    <n v="10000"/>
    <n v="18.744037053212445"/>
    <n v="533.50300000000004"/>
    <x v="1"/>
    <s v="CR-S-R1"/>
    <s v="PALF"/>
    <s v="Dahan"/>
    <s v="CONGO"/>
    <m/>
    <m/>
    <m/>
  </r>
  <r>
    <d v="2025-09-01T00:00:00"/>
    <s v="Taxi:  Bureau-Banque BCI/ Retrait espece"/>
    <x v="0"/>
    <x v="2"/>
    <n v="1000"/>
    <n v="1.8744037053212446"/>
    <n v="533.50300000000004"/>
    <x v="2"/>
    <s v="P-S-D1"/>
    <s v="PALF"/>
    <s v="Dahan"/>
    <s v="CONGO"/>
    <m/>
    <m/>
    <m/>
  </r>
  <r>
    <d v="2025-09-01T00:00:00"/>
    <s v="Taxi:  Banque BCI - Direction MTN /Achat crédit bureau PALF"/>
    <x v="0"/>
    <x v="2"/>
    <n v="500"/>
    <n v="0.93720185266062228"/>
    <n v="533.50300000000004"/>
    <x v="2"/>
    <s v="P-S-D1"/>
    <s v="PALF"/>
    <s v="Dahan"/>
    <s v="CONGO"/>
    <m/>
    <m/>
    <m/>
  </r>
  <r>
    <d v="2025-09-01T00:00:00"/>
    <s v="Taxi: Direction MTN-Bureau/"/>
    <x v="0"/>
    <x v="2"/>
    <n v="1000"/>
    <n v="1.8744037053212446"/>
    <n v="533.50300000000004"/>
    <x v="2"/>
    <s v="P-S-D1"/>
    <s v="PALF"/>
    <s v="Dahan"/>
    <s v="CONGO"/>
    <m/>
    <m/>
    <m/>
  </r>
  <r>
    <d v="2025-09-01T00:00:00"/>
    <s v="Ration et frais d'hotel mission maitre Alain à Impfondo du 01 au 07/09/2025"/>
    <x v="2"/>
    <x v="1"/>
    <n v="150000"/>
    <n v="281.16055579818669"/>
    <n v="533.50300000000004"/>
    <x v="2"/>
    <s v="CA-S-R1"/>
    <s v="PALF"/>
    <s v="Dahan"/>
    <s v="CONGO"/>
    <m/>
    <m/>
    <m/>
  </r>
  <r>
    <d v="2025-09-01T00:00:00"/>
    <s v="Frais de transport mission Maitre Alain à Impfondo du 01 au 07/09/2025"/>
    <x v="0"/>
    <x v="1"/>
    <n v="12000"/>
    <n v="21.392586042763778"/>
    <n v="560.94200000000001"/>
    <x v="2"/>
    <s v="CA-S-R2"/>
    <s v="PALF"/>
    <s v="Wildcat 2025"/>
    <s v="CONGO"/>
    <m/>
    <m/>
    <m/>
  </r>
  <r>
    <d v="2025-09-01T00:00:00"/>
    <s v="Taxi: Bureau - Charden Farell/transfert d'argent à Roderlin et Maitre Alain"/>
    <x v="0"/>
    <x v="2"/>
    <n v="500"/>
    <n v="0.89135775178182408"/>
    <n v="560.94200000000001"/>
    <x v="2"/>
    <s v="P-S-D1"/>
    <s v="PALF"/>
    <s v="Wildcat 2025"/>
    <s v="CONGO"/>
    <m/>
    <m/>
    <m/>
  </r>
  <r>
    <d v="2025-09-01T00:00:00"/>
    <s v="Taxi: Charden Farell- Bureau/transferft d'argent"/>
    <x v="3"/>
    <x v="2"/>
    <n v="9360"/>
    <n v="16.686217113355749"/>
    <n v="560.94200000000001"/>
    <x v="2"/>
    <s v="CA-S-R3"/>
    <s v="PALF"/>
    <s v="Wildcat 2025"/>
    <s v="CONGO"/>
    <m/>
    <m/>
    <m/>
  </r>
  <r>
    <d v="2025-09-01T00:00:00"/>
    <s v="Taxi: Charden Farell- Bureau/transferft d'argent"/>
    <x v="0"/>
    <x v="2"/>
    <n v="500"/>
    <n v="0.89135775178182408"/>
    <n v="560.94200000000001"/>
    <x v="2"/>
    <s v="P-S-D1"/>
    <s v="PALF"/>
    <s v="Wildcat 2025"/>
    <s v="CONGO"/>
    <m/>
    <m/>
    <m/>
  </r>
  <r>
    <d v="2025-09-01T00:00:00"/>
    <s v="Credit teléphonique MTN PALF/ du 01 au 07 septembre 2025/ Parfaite"/>
    <x v="1"/>
    <x v="0"/>
    <n v="7500"/>
    <n v="13.370366276727362"/>
    <n v="560.94200000000001"/>
    <x v="2"/>
    <s v="P-S-R1"/>
    <s v="PALF"/>
    <s v="Wildcat 2025"/>
    <s v="CONGO"/>
    <m/>
    <m/>
    <m/>
  </r>
  <r>
    <d v="2025-09-01T00:00:00"/>
    <s v="P29 -CONGO Frais d'hotel du 31/08 au 01/09/2025 à  Gamboma (01 Nuitée)"/>
    <x v="2"/>
    <x v="3"/>
    <n v="15000"/>
    <n v="26.740732553454723"/>
    <n v="560.94200000000001"/>
    <x v="3"/>
    <s v="P29-S-R1"/>
    <s v="PALF"/>
    <s v="Wildcat 2025"/>
    <s v="CONGO"/>
    <m/>
    <m/>
    <m/>
  </r>
  <r>
    <d v="2025-09-01T00:00:00"/>
    <s v="Taxi hotel-agence,départ pour brazza"/>
    <x v="0"/>
    <x v="3"/>
    <n v="1000"/>
    <n v="1.7827155035636482"/>
    <n v="560.94200000000001"/>
    <x v="3"/>
    <s v="P29-S-D1"/>
    <s v="PALF"/>
    <s v="Wildcat 2025"/>
    <s v="CONGO"/>
    <m/>
    <m/>
    <m/>
  </r>
  <r>
    <d v="2025-09-01T00:00:00"/>
    <s v="Taxi agence-domicile,arrivé à brazzaville"/>
    <x v="0"/>
    <x v="3"/>
    <n v="2500"/>
    <n v="4.4567887589091209"/>
    <n v="560.94200000000001"/>
    <x v="3"/>
    <s v="P29-S-D1"/>
    <s v="PALF"/>
    <s v="Wildcat 2025"/>
    <s v="CONGO"/>
    <m/>
    <m/>
    <m/>
  </r>
  <r>
    <d v="2025-09-01T00:00:00"/>
    <s v="Credit telephonique MTN PALF/ du 01 au 07 Septembre 2025/ Investigation/P29"/>
    <x v="1"/>
    <x v="3"/>
    <n v="10000"/>
    <n v="17.827155035636483"/>
    <n v="560.94200000000001"/>
    <x v="3"/>
    <s v="P29-S-R2"/>
    <s v="PALF"/>
    <s v="Wildcat 2025"/>
    <s v="CONGO"/>
    <m/>
    <m/>
    <m/>
  </r>
  <r>
    <d v="2025-09-01T00:00:00"/>
    <s v="T73 - CONGO Frais d'hotel du 31 au 01/08/2025 ( 01 nuitée) à Gamboma"/>
    <x v="2"/>
    <x v="3"/>
    <n v="15000"/>
    <n v="26.740732553454723"/>
    <n v="560.94200000000001"/>
    <x v="4"/>
    <s v="T73-S-R1"/>
    <s v="PALF"/>
    <s v="Wildcat 2025"/>
    <s v="CONGO"/>
    <m/>
    <m/>
    <m/>
  </r>
  <r>
    <d v="2025-09-01T00:00:00"/>
    <s v="Credit telephonique MTN PALF/ du 01 au 07 septembre 2025/ Investigation/T73"/>
    <x v="1"/>
    <x v="3"/>
    <n v="10000"/>
    <n v="17.827155035636483"/>
    <n v="560.94200000000001"/>
    <x v="4"/>
    <s v="T73-S-R2"/>
    <s v="PALF"/>
    <s v="Wildcat 2025"/>
    <s v="CONGO"/>
    <m/>
    <m/>
    <m/>
  </r>
  <r>
    <d v="2025-09-01T00:00:00"/>
    <s v="Credit telephonique MTN PALF/du 01 au 07 septembre 2025/IT87"/>
    <x v="1"/>
    <x v="3"/>
    <n v="10000"/>
    <n v="17.827155035636483"/>
    <n v="560.94200000000001"/>
    <x v="5"/>
    <s v="IT87-S-R1"/>
    <s v="PALF"/>
    <s v="Wildcat 2025"/>
    <s v="CONGO"/>
    <m/>
    <m/>
    <m/>
  </r>
  <r>
    <d v="2025-09-01T00:00:00"/>
    <s v="Credit telephonique MTN PALF/du 01 au 07 septembre 2025/G12"/>
    <x v="1"/>
    <x v="3"/>
    <n v="10000"/>
    <n v="17.827155035636483"/>
    <n v="560.94200000000001"/>
    <x v="6"/>
    <s v="G12-S-R1"/>
    <s v="PALF"/>
    <s v="Wildcat 2025"/>
    <s v="CONGO"/>
    <m/>
    <m/>
    <m/>
  </r>
  <r>
    <d v="2025-09-01T00:00:00"/>
    <s v="Credit telephonique MTN PALF/ du 01 au 07 septembre 2025/Abraham"/>
    <x v="1"/>
    <x v="1"/>
    <n v="7500"/>
    <n v="13.370366276727362"/>
    <n v="560.94200000000001"/>
    <x v="7"/>
    <s v="AB-S-R1"/>
    <s v="PALF"/>
    <s v="Wildcat 2025"/>
    <s v="CONGO"/>
    <m/>
    <m/>
    <m/>
  </r>
  <r>
    <d v="2025-09-01T00:00:00"/>
    <s v="Taxi-moto:Hôtel Mithe-TGI de Ouesso"/>
    <x v="0"/>
    <x v="1"/>
    <n v="500"/>
    <n v="0.89135775178182408"/>
    <n v="560.94200000000001"/>
    <x v="8"/>
    <s v="RO-S-D1"/>
    <s v="PALF"/>
    <s v="Wildcat 2025"/>
    <s v="CONGO"/>
    <m/>
    <m/>
    <m/>
  </r>
  <r>
    <d v="2025-09-01T00:00:00"/>
    <s v="Taxi-moto:TGI-Hôtel Mithe"/>
    <x v="0"/>
    <x v="1"/>
    <n v="500"/>
    <n v="0.89135775178182408"/>
    <n v="560.94200000000001"/>
    <x v="8"/>
    <s v="RO-S-D1"/>
    <s v="PALF"/>
    <s v="Wildcat 2025"/>
    <s v="CONGO"/>
    <m/>
    <m/>
    <m/>
  </r>
  <r>
    <d v="2025-09-01T00:00:00"/>
    <s v="RODERLIN-CONGO Ration du 01 au 07/09/2025 à Impfondo (06 nuitées)"/>
    <x v="2"/>
    <x v="1"/>
    <n v="60000"/>
    <n v="106.96293021381889"/>
    <n v="560.94200000000001"/>
    <x v="8"/>
    <s v="RO-S-D2"/>
    <s v="PALF"/>
    <s v="Wildcat 2025"/>
    <s v="CONGO"/>
    <m/>
    <m/>
    <m/>
  </r>
  <r>
    <d v="2025-09-01T00:00:00"/>
    <s v="Credit telephonique MTN PALF/du 01 au 07 Septembre 2025/Roderlin"/>
    <x v="1"/>
    <x v="1"/>
    <n v="7500"/>
    <n v="13.370366276727362"/>
    <n v="560.94200000000001"/>
    <x v="8"/>
    <s v="RO-S-R2"/>
    <s v="PALF"/>
    <s v="Wildcat 2025"/>
    <s v="CONGO"/>
    <m/>
    <m/>
    <m/>
  </r>
  <r>
    <d v="2025-09-05T00:00:00"/>
    <s v="Achat billet Impfondo-Brazzaville/ Roderlin"/>
    <x v="0"/>
    <x v="1"/>
    <n v="37000"/>
    <n v="65.960473631854981"/>
    <n v="560.94200000000001"/>
    <x v="8"/>
    <s v="RO-S-R1"/>
    <s v="PALF"/>
    <s v="Wildcat 2025"/>
    <s v="CONGO"/>
    <m/>
    <m/>
    <m/>
  </r>
  <r>
    <d v="2025-09-01T00:00:00"/>
    <s v="Taxi moto Hôtel Mithé-TGI/ Suivi d'audience"/>
    <x v="4"/>
    <x v="1"/>
    <n v="500"/>
    <n v="0.89135775178182408"/>
    <n v="560.94200000000001"/>
    <x v="9"/>
    <s v="DR-S-D1"/>
    <s v="PALF"/>
    <s v="Wildcat 2025"/>
    <s v="CONGO"/>
    <m/>
    <m/>
    <m/>
  </r>
  <r>
    <d v="2025-09-01T00:00:00"/>
    <s v="Taxi moto TGI- Agence Océan du Nord/ Pour la reservation des billets"/>
    <x v="4"/>
    <x v="1"/>
    <n v="500"/>
    <n v="0.89135775178182408"/>
    <n v="560.94200000000001"/>
    <x v="9"/>
    <s v="DR-S-D1"/>
    <s v="PALF"/>
    <s v="Wildcat 2025"/>
    <s v="CONGO"/>
    <m/>
    <m/>
    <m/>
  </r>
  <r>
    <d v="2025-09-01T00:00:00"/>
    <s v="Credit telephonique MTN PALF/du 01 au 07 septembre 2025"/>
    <x v="1"/>
    <x v="1"/>
    <n v="10000"/>
    <n v="17.827155035636483"/>
    <n v="560.94200000000001"/>
    <x v="9"/>
    <s v="DR-S-R1"/>
    <s v="PALF"/>
    <s v="Wildcat 2025"/>
    <s v="CONGO"/>
    <m/>
    <m/>
    <m/>
  </r>
  <r>
    <d v="2025-09-01T00:00:00"/>
    <s v="Taxi moto Agence Océan du Nord-Hôtel Mithé"/>
    <x v="4"/>
    <x v="1"/>
    <n v="500"/>
    <n v="0.89135775178182408"/>
    <n v="560.94200000000001"/>
    <x v="9"/>
    <s v="DR-S-D1"/>
    <s v="PALF"/>
    <s v="Wildcat 2025"/>
    <s v="CONGO"/>
    <m/>
    <m/>
    <m/>
  </r>
  <r>
    <d v="2025-09-01T00:00:00"/>
    <s v="Donald-Roméo CONGO Ration  du  02 au 14/09/2025 à Oyo, Impfondo et  Enyellé/ Donald-Roméo"/>
    <x v="2"/>
    <x v="1"/>
    <n v="120000"/>
    <n v="213.92586042763779"/>
    <n v="560.94200000000001"/>
    <x v="9"/>
    <s v="DR-S-D2"/>
    <s v="PALF"/>
    <s v="Wildcat 2025"/>
    <s v="CONGO"/>
    <m/>
    <m/>
    <m/>
  </r>
  <r>
    <d v="2025-09-02T00:00:00"/>
    <s v="Taxi moto Hôtel Mithé-Charden farell/ Retrait de fonds"/>
    <x v="4"/>
    <x v="1"/>
    <n v="500"/>
    <n v="0.89135775178182408"/>
    <n v="560.94200000000001"/>
    <x v="9"/>
    <s v="DR-S-D1"/>
    <s v="PALF"/>
    <s v="Wildcat 2025"/>
    <s v="CONGO"/>
    <m/>
    <m/>
    <m/>
  </r>
  <r>
    <d v="2025-09-01T00:00:00"/>
    <s v="Achat billet Impfondo-Brazzaville/Evariste"/>
    <x v="0"/>
    <x v="4"/>
    <n v="37000"/>
    <n v="65.960473631854981"/>
    <n v="560.94200000000001"/>
    <x v="10"/>
    <s v="EV-S-R1"/>
    <s v="PALF"/>
    <s v="Wildcat 2025"/>
    <s v="CONGO"/>
    <m/>
    <m/>
    <m/>
  </r>
  <r>
    <d v="2025-09-01T00:00:00"/>
    <s v="EVARISTE-CONGO Frais de l'hôtel Mithé du 16 août au 01 septembre 2025 à Impfondo( 16 nuitées) "/>
    <x v="2"/>
    <x v="4"/>
    <n v="240000"/>
    <n v="427.85172085527557"/>
    <n v="560.94200000000001"/>
    <x v="10"/>
    <s v="EV-S-R2"/>
    <s v="PALF"/>
    <s v="Wildcat 2025"/>
    <s v="CONGO"/>
    <m/>
    <m/>
    <m/>
  </r>
  <r>
    <d v="2025-09-01T00:00:00"/>
    <s v="Taxi moto, Hôtel Mithé2-Agence Océan du Nord d'Impfondo"/>
    <x v="0"/>
    <x v="4"/>
    <n v="500"/>
    <n v="0.89135775178182408"/>
    <n v="560.94200000000001"/>
    <x v="10"/>
    <s v="EV-S-D1"/>
    <s v="PALF"/>
    <s v="Wildcat 2025"/>
    <s v="CONGO"/>
    <m/>
    <m/>
    <m/>
  </r>
  <r>
    <d v="2025-09-01T00:00:00"/>
    <s v="Credit telephonique MTN PALF/du 01 au 07 septembre 2025/ Evariste"/>
    <x v="1"/>
    <x v="4"/>
    <n v="10000"/>
    <n v="17.827155035636483"/>
    <n v="560.94200000000001"/>
    <x v="10"/>
    <s v="EV-S-R3"/>
    <s v="PALF"/>
    <s v="Wildcat 2025"/>
    <s v="CONGO"/>
    <m/>
    <m/>
    <m/>
  </r>
  <r>
    <d v="2025-09-01T00:00:00"/>
    <s v="Credit telephonique MTN PALF/du 01 au 07 Septembre 2025/Romain"/>
    <x v="1"/>
    <x v="1"/>
    <n v="7500"/>
    <n v="13.370366276727362"/>
    <n v="560.94200000000001"/>
    <x v="11"/>
    <s v="RM-S-R1"/>
    <s v="PALF"/>
    <s v="Wildcat 2025"/>
    <s v="CONGO"/>
    <m/>
    <m/>
    <m/>
  </r>
  <r>
    <d v="2025-09-02T00:00:00"/>
    <s v="Maison-Cabinet d'huissier"/>
    <x v="0"/>
    <x v="0"/>
    <n v="1000"/>
    <n v="1.7827155035636482"/>
    <n v="560.94200000000001"/>
    <x v="0"/>
    <s v="DH-S-D1"/>
    <s v="PALF"/>
    <s v="Wildcat 2025"/>
    <s v="CONGO"/>
    <m/>
    <m/>
    <m/>
  </r>
  <r>
    <d v="2025-09-02T00:00:00"/>
    <s v="Cabinet d'huissier - Bureau"/>
    <x v="0"/>
    <x v="0"/>
    <n v="1000"/>
    <n v="1.7827155035636482"/>
    <n v="560.94200000000001"/>
    <x v="0"/>
    <s v="DH-S-D1"/>
    <s v="PALF"/>
    <s v="Wildcat 2025"/>
    <s v="CONGO"/>
    <m/>
    <m/>
    <m/>
  </r>
  <r>
    <d v="2025-09-02T00:00:00"/>
    <s v="Bureau-Maison"/>
    <x v="0"/>
    <x v="0"/>
    <n v="1000"/>
    <n v="1.7827155035636482"/>
    <n v="560.94200000000001"/>
    <x v="0"/>
    <s v="DH-S-D1"/>
    <s v="PALF"/>
    <s v="Wildcat 2025"/>
    <s v="CONGO"/>
    <m/>
    <m/>
    <m/>
  </r>
  <r>
    <d v="2025-09-02T00:00:00"/>
    <s v="Frais de notification affaire de merveille/ Maître OKEMBA NGABOMBA"/>
    <x v="5"/>
    <x v="1"/>
    <n v="113500"/>
    <n v="202.33820965447407"/>
    <n v="560.94200000000001"/>
    <x v="2"/>
    <s v="CA-S-R5"/>
    <s v="PALF"/>
    <s v="Wildcat 2025"/>
    <s v="CONGO"/>
    <m/>
    <m/>
    <m/>
  </r>
  <r>
    <d v="2025-09-02T00:00:00"/>
    <s v="Taxi: Bureau-Charden Farell/Transfert de fonds"/>
    <x v="0"/>
    <x v="1"/>
    <n v="500"/>
    <n v="0.89135775178182408"/>
    <n v="560.94200000000001"/>
    <x v="7"/>
    <s v="AB-S-D1"/>
    <s v="PALF"/>
    <s v="Wildcat 2025"/>
    <s v="CONGO"/>
    <m/>
    <m/>
    <m/>
  </r>
  <r>
    <d v="2025-09-02T00:00:00"/>
    <s v="Taxi: Charden-Farel Bureau"/>
    <x v="0"/>
    <x v="1"/>
    <n v="500"/>
    <n v="0.89135775178182408"/>
    <n v="560.94200000000001"/>
    <x v="7"/>
    <s v="AB-S-D1"/>
    <s v="PALF"/>
    <s v="Wildcat 2025"/>
    <s v="CONGO"/>
    <m/>
    <m/>
    <m/>
  </r>
  <r>
    <d v="2025-09-02T00:00:00"/>
    <s v="Frais de tansfert d'argent à Donald-Roméo et Crepin"/>
    <x v="3"/>
    <x v="2"/>
    <n v="7950"/>
    <n v="14.172588253331003"/>
    <n v="560.94200000000001"/>
    <x v="7"/>
    <s v="CA-S-R4"/>
    <s v="PALF"/>
    <s v="Wildcat 2025"/>
    <s v="CONGO"/>
    <m/>
    <m/>
    <m/>
  </r>
  <r>
    <d v="2025-09-02T00:00:00"/>
    <s v="Taxi-moto:Hôtel Mithe-Charden Farrel"/>
    <x v="0"/>
    <x v="1"/>
    <n v="500"/>
    <n v="0.89135775178182408"/>
    <n v="560.94200000000001"/>
    <x v="8"/>
    <s v="RO-S-D1"/>
    <s v="PALF"/>
    <s v="Wildcat 2025"/>
    <s v="CONGO"/>
    <m/>
    <m/>
    <m/>
  </r>
  <r>
    <d v="2025-09-02T00:00:00"/>
    <s v="Taxi-moto:Charden Farrel-Hôtel Mithe "/>
    <x v="0"/>
    <x v="1"/>
    <n v="500"/>
    <n v="0.89135775178182408"/>
    <n v="560.94200000000001"/>
    <x v="8"/>
    <s v="RO-S-D1"/>
    <s v="PALF"/>
    <s v="Wildcat 2025"/>
    <s v="CONGO"/>
    <m/>
    <m/>
    <m/>
  </r>
  <r>
    <d v="2025-09-02T00:00:00"/>
    <s v="Taxi moto Charden farell-Hôtel Mithé"/>
    <x v="4"/>
    <x v="1"/>
    <n v="500"/>
    <n v="0.89135775178182408"/>
    <n v="560.94200000000001"/>
    <x v="9"/>
    <s v="DR-S-D1"/>
    <s v="PALF"/>
    <s v="Wildcat 2025"/>
    <s v="CONGO"/>
    <m/>
    <m/>
    <m/>
  </r>
  <r>
    <d v="2025-09-04T00:00:00"/>
    <s v="Taxi moto Hôtel Mithé- Agence Océan du Nord/ Pour le repport des billets"/>
    <x v="4"/>
    <x v="1"/>
    <n v="500"/>
    <n v="0.93720185266062228"/>
    <n v="533.50300000000004"/>
    <x v="9"/>
    <s v="DR-S-D1"/>
    <s v="PALF"/>
    <s v="OAT"/>
    <s v="CONGO"/>
    <m/>
    <m/>
    <m/>
  </r>
  <r>
    <d v="2025-09-02T00:00:00"/>
    <s v="EVARISTE-CONGO Frais de l'hôtel  à Enyellé ( 01 nuitée) "/>
    <x v="2"/>
    <x v="4"/>
    <n v="15000"/>
    <n v="26.740732553454723"/>
    <n v="560.94200000000001"/>
    <x v="10"/>
    <s v="EV-S-R4"/>
    <s v="PALF"/>
    <s v="Wildcat 2025"/>
    <s v="CONGO"/>
    <m/>
    <m/>
    <m/>
  </r>
  <r>
    <d v="2025-09-02T00:00:00"/>
    <s v="Reglement honoraire du mois de de d'Août 2025/P29/3654429"/>
    <x v="6"/>
    <x v="3"/>
    <n v="450000"/>
    <n v="802.22197660364168"/>
    <n v="560.94200000000001"/>
    <x v="12"/>
    <s v="BQ-S-R1"/>
    <s v="PALF"/>
    <s v="Wildcat 2025"/>
    <s v="CONGO"/>
    <m/>
    <m/>
    <m/>
  </r>
  <r>
    <d v="2025-09-02T00:00:00"/>
    <s v="Reglement honoraire du mois d'Août 2025/T73/3654430"/>
    <x v="6"/>
    <x v="3"/>
    <n v="375000"/>
    <n v="668.51831383636807"/>
    <n v="560.94200000000001"/>
    <x v="12"/>
    <s v="BQ-S-R2"/>
    <s v="PALF"/>
    <s v="Wildcat 2025"/>
    <s v="CONGO"/>
    <m/>
    <m/>
    <m/>
  </r>
  <r>
    <d v="2025-09-03T00:00:00"/>
    <s v="Maison-Bureau"/>
    <x v="0"/>
    <x v="0"/>
    <n v="1000"/>
    <n v="1.7827155035636482"/>
    <n v="560.94200000000001"/>
    <x v="0"/>
    <s v="DH-S-D1"/>
    <s v="PALF"/>
    <s v="Wildcat 2025"/>
    <s v="CONGO"/>
    <m/>
    <m/>
    <m/>
  </r>
  <r>
    <d v="2025-09-03T00:00:00"/>
    <s v="Bureau - Maison"/>
    <x v="0"/>
    <x v="0"/>
    <n v="1000"/>
    <n v="1.7827155035636482"/>
    <n v="560.94200000000001"/>
    <x v="0"/>
    <s v="DH-S-D1"/>
    <s v="PALF"/>
    <s v="Wildcat 2025"/>
    <s v="CONGO"/>
    <m/>
    <m/>
    <m/>
  </r>
  <r>
    <d v="2025-09-03T00:00:00"/>
    <s v="Achat billet Brazzaville-Dolisie/ P29"/>
    <x v="0"/>
    <x v="3"/>
    <n v="9000"/>
    <n v="16.044439532072836"/>
    <n v="560.94200000000001"/>
    <x v="3"/>
    <s v="P29-S-R3"/>
    <s v="PALF"/>
    <s v="Wildcat 2025"/>
    <s v="CONGO"/>
    <m/>
    <m/>
    <m/>
  </r>
  <r>
    <d v="2025-09-03T00:00:00"/>
    <s v="Taxi bureau-agence, pour achat billet"/>
    <x v="0"/>
    <x v="3"/>
    <n v="1000"/>
    <n v="1.7827155035636482"/>
    <n v="560.94200000000001"/>
    <x v="3"/>
    <s v="P29-S-D1"/>
    <s v="PALF"/>
    <s v="Wildcat 2025"/>
    <s v="CONGO"/>
    <m/>
    <m/>
    <m/>
  </r>
  <r>
    <d v="2025-09-03T00:00:00"/>
    <s v="Taxi agence-bureau"/>
    <x v="0"/>
    <x v="3"/>
    <n v="1500"/>
    <n v="2.6740732553454722"/>
    <n v="560.94200000000001"/>
    <x v="3"/>
    <s v="P29-S-D1"/>
    <s v="PALF"/>
    <s v="Wildcat 2025"/>
    <s v="CONGO"/>
    <m/>
    <m/>
    <m/>
  </r>
  <r>
    <d v="2025-09-03T00:00:00"/>
    <s v="Taxi :bureau - agence trans bony"/>
    <x v="0"/>
    <x v="3"/>
    <n v="1000"/>
    <n v="1.7827155035636482"/>
    <n v="560.94200000000001"/>
    <x v="4"/>
    <s v="T73-S-D1"/>
    <s v="PALF"/>
    <s v="Wildcat 2025"/>
    <s v="CONGO"/>
    <m/>
    <m/>
    <m/>
  </r>
  <r>
    <d v="2025-09-03T00:00:00"/>
    <s v="Taxi :agence trans bony - domicile"/>
    <x v="0"/>
    <x v="3"/>
    <n v="1000"/>
    <n v="1.7827155035636482"/>
    <n v="560.94200000000001"/>
    <x v="4"/>
    <s v="T73-S-D1"/>
    <s v="PALF"/>
    <s v="Wildcat 2025"/>
    <s v="CONGO"/>
    <m/>
    <m/>
    <m/>
  </r>
  <r>
    <d v="2025-09-03T00:00:00"/>
    <s v="Achat billet : Brazzaville - dolisie/T73"/>
    <x v="0"/>
    <x v="3"/>
    <n v="9000"/>
    <n v="16.044439532072836"/>
    <n v="560.94200000000001"/>
    <x v="4"/>
    <s v="T73-S-R3"/>
    <s v="PALF"/>
    <s v="Wildcat 2025"/>
    <s v="CONGO"/>
    <m/>
    <m/>
    <m/>
  </r>
  <r>
    <d v="2025-09-03T00:00:00"/>
    <s v="Achat carte Sim MTN /T73"/>
    <x v="7"/>
    <x v="3"/>
    <n v="10000"/>
    <n v="17.827155035636483"/>
    <n v="560.94200000000001"/>
    <x v="4"/>
    <s v="CA-S-R6"/>
    <s v="PALF"/>
    <s v="Wildcat 2025"/>
    <s v="CONGO"/>
    <m/>
    <m/>
    <m/>
  </r>
  <r>
    <d v="2025-09-03T00:00:00"/>
    <s v="Taxi : Bureau - Agence Trans bony/ Achat billet"/>
    <x v="0"/>
    <x v="3"/>
    <n v="1000"/>
    <n v="1.7827155035636482"/>
    <n v="560.94200000000001"/>
    <x v="5"/>
    <s v="IT87-S-D1"/>
    <s v="PALF"/>
    <s v="Wildcat 2025"/>
    <s v="CONGO"/>
    <m/>
    <m/>
    <m/>
  </r>
  <r>
    <d v="2025-09-03T00:00:00"/>
    <s v="Achat billet Brazzaville - Mouyondzi/ IT87"/>
    <x v="0"/>
    <x v="3"/>
    <n v="7000"/>
    <n v="12.479008524945538"/>
    <n v="560.94200000000001"/>
    <x v="5"/>
    <s v="IT87-S-R2"/>
    <s v="PALF"/>
    <s v="Wildcat 2025"/>
    <s v="CONGO"/>
    <m/>
    <m/>
    <m/>
  </r>
  <r>
    <d v="2025-09-03T00:00:00"/>
    <s v="Taxi Agence trans bony - Domicile/ Retour d'achat billet"/>
    <x v="0"/>
    <x v="3"/>
    <n v="2000"/>
    <n v="3.5654310071272963"/>
    <n v="560.94200000000001"/>
    <x v="5"/>
    <s v="IT87-S-D1"/>
    <s v="PALF"/>
    <s v="Wildcat 2025"/>
    <s v="CONGO"/>
    <m/>
    <m/>
    <m/>
  </r>
  <r>
    <d v="2025-09-03T00:00:00"/>
    <s v="EVARISTE- CONGO Frais de l'hôtel du 02 au 03/09/2025  à Gamboma (01 nuitée) "/>
    <x v="2"/>
    <x v="4"/>
    <n v="15000"/>
    <n v="26.740732553454723"/>
    <n v="560.94200000000001"/>
    <x v="10"/>
    <s v="EV-S-R5"/>
    <s v="PALF"/>
    <s v="Wildcat 2025"/>
    <s v="CONGO"/>
    <m/>
    <m/>
    <m/>
  </r>
  <r>
    <d v="2025-09-03T00:00:00"/>
    <s v="Taxi, Agence Océan du Nord de Talangaï-Domicile"/>
    <x v="0"/>
    <x v="4"/>
    <n v="3000"/>
    <n v="5.3481465106909445"/>
    <n v="560.94200000000001"/>
    <x v="10"/>
    <s v="EV-S-D1"/>
    <s v="PALF"/>
    <s v="Wildcat 2025"/>
    <s v="CONGO"/>
    <m/>
    <m/>
    <m/>
  </r>
  <r>
    <d v="2025-09-03T00:00:00"/>
    <s v="Reglement Facture Gardiennage Mois d'Août 2025/365443654431"/>
    <x v="8"/>
    <x v="2"/>
    <n v="260000"/>
    <n v="463.50603092654853"/>
    <n v="560.94200000000001"/>
    <x v="12"/>
    <s v="BQ-S-R3"/>
    <s v="PALF"/>
    <s v="Wildcat 2025"/>
    <s v="CONGO"/>
    <m/>
    <m/>
    <m/>
  </r>
  <r>
    <d v="2025-09-03T00:00:00"/>
    <s v="Reglement loyer du mois d'Août 2025/3654420"/>
    <x v="9"/>
    <x v="2"/>
    <n v="500000"/>
    <n v="891.35775178182416"/>
    <n v="560.94200000000001"/>
    <x v="12"/>
    <s v="BQ-S-R4"/>
    <s v="PALF"/>
    <s v="Wildcat 2025"/>
    <s v="CONGO"/>
    <m/>
    <m/>
    <m/>
  </r>
  <r>
    <d v="2025-09-04T00:00:00"/>
    <s v="Maison-Bureau"/>
    <x v="0"/>
    <x v="0"/>
    <n v="1000"/>
    <n v="1.8744037053212446"/>
    <n v="533.50300000000004"/>
    <x v="0"/>
    <s v="DH-S-D1"/>
    <s v="PALF"/>
    <s v="OAT"/>
    <s v="CONGO"/>
    <m/>
    <m/>
    <m/>
  </r>
  <r>
    <d v="2025-09-04T00:00:00"/>
    <s v="Bureau-Maison"/>
    <x v="0"/>
    <x v="0"/>
    <n v="1000"/>
    <n v="1.8744037053212446"/>
    <n v="533.50300000000004"/>
    <x v="0"/>
    <s v="DH-S-D1"/>
    <s v="PALF"/>
    <s v="OAT"/>
    <s v="CONGO"/>
    <m/>
    <m/>
    <m/>
  </r>
  <r>
    <d v="2025-09-04T00:00:00"/>
    <s v="P29 - CONGO Ration  du 04 /09/2025  au 05/10/2025 à Dolisie (31 Nuitées)"/>
    <x v="2"/>
    <x v="3"/>
    <n v="310000"/>
    <n v="581.06514864958581"/>
    <n v="533.50300000000004"/>
    <x v="3"/>
    <s v="P29-S-D2"/>
    <s v="PALF"/>
    <s v="OAT"/>
    <s v="CONGO"/>
    <m/>
    <m/>
    <m/>
  </r>
  <r>
    <d v="2025-09-04T00:00:00"/>
    <s v="Taxi domicile-agence,départ mission"/>
    <x v="0"/>
    <x v="3"/>
    <n v="1000"/>
    <n v="1.8744037053212446"/>
    <n v="533.50300000000004"/>
    <x v="3"/>
    <s v="P29-S-D1"/>
    <s v="PALF"/>
    <s v="OAT"/>
    <s v="CONGO"/>
    <m/>
    <m/>
    <m/>
  </r>
  <r>
    <d v="2025-09-04T00:00:00"/>
    <s v="Taxi agence-hotel,arrivé à dolisie"/>
    <x v="0"/>
    <x v="3"/>
    <n v="1000"/>
    <n v="1.8744037053212446"/>
    <n v="533.50300000000004"/>
    <x v="3"/>
    <s v="P29-S-D1"/>
    <s v="PALF"/>
    <s v="OAT"/>
    <s v="CONGO"/>
    <m/>
    <m/>
    <m/>
  </r>
  <r>
    <d v="2025-09-04T00:00:00"/>
    <s v="Taxi hotel-gaya,prospection"/>
    <x v="0"/>
    <x v="3"/>
    <n v="1000"/>
    <n v="1.8744037053212446"/>
    <n v="533.50300000000004"/>
    <x v="3"/>
    <s v="P29-S-D1"/>
    <s v="PALF"/>
    <s v="OAT"/>
    <s v="CONGO"/>
    <m/>
    <m/>
    <m/>
  </r>
  <r>
    <d v="2025-09-04T00:00:00"/>
    <s v="Taxi gaya-hotel"/>
    <x v="0"/>
    <x v="3"/>
    <n v="1000"/>
    <n v="1.8744037053212446"/>
    <n v="533.50300000000004"/>
    <x v="3"/>
    <s v="P29-S-D1"/>
    <s v="PALF"/>
    <s v="OAT"/>
    <s v="CONGO"/>
    <m/>
    <m/>
    <m/>
  </r>
  <r>
    <d v="2025-09-04T00:00:00"/>
    <s v="T73 CONGO Ration du 04 au 05/10/2025 à Dolisie (31 Nuitées)"/>
    <x v="2"/>
    <x v="3"/>
    <n v="310000"/>
    <n v="581.06514864958581"/>
    <n v="533.50300000000004"/>
    <x v="4"/>
    <s v="T73-S-D2"/>
    <s v="PALF"/>
    <s v="OAT"/>
    <s v="CONGO"/>
    <m/>
    <m/>
    <m/>
  </r>
  <r>
    <d v="2025-09-04T00:00:00"/>
    <s v="Taxi : domicile - agence bony"/>
    <x v="0"/>
    <x v="3"/>
    <n v="1000"/>
    <n v="1.8744037053212446"/>
    <n v="533.50300000000004"/>
    <x v="4"/>
    <s v="T73-S-D1"/>
    <s v="PALF"/>
    <s v="OAT"/>
    <s v="CONGO"/>
    <m/>
    <m/>
    <m/>
  </r>
  <r>
    <d v="2025-09-04T00:00:00"/>
    <s v="Taxi : agence bony - hotel le pharaon"/>
    <x v="0"/>
    <x v="3"/>
    <n v="1000"/>
    <n v="1.8744037053212446"/>
    <n v="533.50300000000004"/>
    <x v="4"/>
    <s v="T73-S-D1"/>
    <s v="PALF"/>
    <s v="OAT"/>
    <s v="CONGO"/>
    <m/>
    <m/>
    <m/>
  </r>
  <r>
    <d v="2025-09-04T00:00:00"/>
    <s v="IT87-CONGO Ration du 04 au 10/09/2025 à Mouyondzi, Yamba et Bouansa"/>
    <x v="2"/>
    <x v="3"/>
    <n v="60000"/>
    <n v="112.46422231927467"/>
    <n v="533.50300000000004"/>
    <x v="5"/>
    <s v="IT87-S-D3"/>
    <s v="PALF"/>
    <s v="OAT"/>
    <s v="CONGO"/>
    <m/>
    <m/>
    <m/>
  </r>
  <r>
    <d v="2025-09-04T00:00:00"/>
    <s v="Taxi : Domicile - Agence Trans Bony/ Départ de Brazzaville pour Mouyondzi"/>
    <x v="0"/>
    <x v="3"/>
    <n v="2500"/>
    <n v="4.6860092633031112"/>
    <n v="533.50300000000004"/>
    <x v="5"/>
    <s v="IT87-S-D1"/>
    <s v="PALF"/>
    <s v="OAT"/>
    <s v="CONGO"/>
    <m/>
    <m/>
    <m/>
  </r>
  <r>
    <d v="2025-09-04T00:00:00"/>
    <s v="Taxi tricycle : Agence trans bony - Hôtel DZA MATSAKA/ Arrivé à Mouyondzi"/>
    <x v="0"/>
    <x v="3"/>
    <n v="600"/>
    <n v="1.1246422231927466"/>
    <n v="533.50300000000004"/>
    <x v="5"/>
    <s v="IT87-S-D1"/>
    <s v="PALF"/>
    <s v="OAT"/>
    <s v="CONGO"/>
    <m/>
    <m/>
    <m/>
  </r>
  <r>
    <d v="2025-09-04T00:00:00"/>
    <s v="Taxi moto Agence Océan du Nord-Hôtel Mithé"/>
    <x v="4"/>
    <x v="1"/>
    <n v="500"/>
    <n v="0.93720185266062228"/>
    <n v="533.50300000000004"/>
    <x v="9"/>
    <s v="DR-S-D1"/>
    <s v="PALF"/>
    <s v="OAT"/>
    <s v="CONGO"/>
    <m/>
    <m/>
    <m/>
  </r>
  <r>
    <d v="2025-09-05T00:00:00"/>
    <s v="Taxi moto Hôtel Mithé-Charden farell/ Retrait de fonds"/>
    <x v="4"/>
    <x v="1"/>
    <n v="500"/>
    <n v="0.93720185266062228"/>
    <n v="533.50300000000004"/>
    <x v="9"/>
    <s v="DR-S-D1"/>
    <s v="PALF"/>
    <s v="OAT"/>
    <s v="CONGO"/>
    <m/>
    <m/>
    <m/>
  </r>
  <r>
    <d v="2025-09-04T00:00:00"/>
    <s v="Taxi, Bureau PALF-Les Dépêches de Brazzaville"/>
    <x v="0"/>
    <x v="4"/>
    <n v="1000"/>
    <n v="1.8744037053212446"/>
    <n v="533.50300000000004"/>
    <x v="10"/>
    <s v="EV-S-D1"/>
    <s v="PALF"/>
    <s v="OAT"/>
    <s v="CONGO"/>
    <m/>
    <m/>
    <m/>
  </r>
  <r>
    <d v="2025-09-04T00:00:00"/>
    <s v="Taxi, Les dépêches de Brazzaville-Agence Congolaise d'information"/>
    <x v="0"/>
    <x v="4"/>
    <n v="1000"/>
    <n v="1.8744037053212446"/>
    <n v="533.50300000000004"/>
    <x v="10"/>
    <s v="EV-S-D1"/>
    <s v="PALF"/>
    <s v="OAT"/>
    <s v="CONGO"/>
    <m/>
    <m/>
    <m/>
  </r>
  <r>
    <d v="2025-09-04T00:00:00"/>
    <s v="Taxi, Agence Congolaise d'Information-Radio Citoyenne des Jeunes"/>
    <x v="0"/>
    <x v="4"/>
    <n v="1000"/>
    <n v="1.8744037053212446"/>
    <n v="533.50300000000004"/>
    <x v="10"/>
    <s v="EV-S-D1"/>
    <s v="PALF"/>
    <s v="OAT"/>
    <s v="CONGO"/>
    <m/>
    <m/>
    <m/>
  </r>
  <r>
    <d v="2025-09-04T00:00:00"/>
    <s v="Taxi, Radio Citoyenne des jeunes-groupecongomedias.com"/>
    <x v="0"/>
    <x v="4"/>
    <n v="1000"/>
    <n v="1.8744037053212446"/>
    <n v="533.50300000000004"/>
    <x v="10"/>
    <s v="EV-S-D1"/>
    <s v="PALF"/>
    <s v="OAT"/>
    <s v="CONGO"/>
    <m/>
    <m/>
    <m/>
  </r>
  <r>
    <d v="2025-09-04T00:00:00"/>
    <s v="Taxi, groupecongomedias.com-panoramik-atu.com"/>
    <x v="0"/>
    <x v="4"/>
    <n v="1000"/>
    <n v="1.8744037053212446"/>
    <n v="533.50300000000004"/>
    <x v="10"/>
    <s v="EV-S-D1"/>
    <s v="PALF"/>
    <s v="OAT"/>
    <s v="CONGO"/>
    <m/>
    <m/>
    <m/>
  </r>
  <r>
    <d v="2025-09-04T00:00:00"/>
    <s v="Taxi, panoramik-actu.com-tribune-eco.com"/>
    <x v="0"/>
    <x v="4"/>
    <n v="1000"/>
    <n v="1.8744037053212446"/>
    <n v="533.50300000000004"/>
    <x v="10"/>
    <s v="EV-S-D1"/>
    <s v="PALF"/>
    <s v="OAT"/>
    <s v="CONGO"/>
    <m/>
    <m/>
    <m/>
  </r>
  <r>
    <d v="2025-09-04T00:00:00"/>
    <s v="Taxi, tribune-eco.com-Bureau PALF"/>
    <x v="0"/>
    <x v="4"/>
    <n v="1000"/>
    <n v="1.8744037053212446"/>
    <n v="533.50300000000004"/>
    <x v="10"/>
    <s v="EV-S-D1"/>
    <s v="PALF"/>
    <s v="OAT"/>
    <s v="CONGO"/>
    <m/>
    <m/>
    <m/>
  </r>
  <r>
    <d v="2025-09-04T00:00:00"/>
    <s v="Bonus media portant sur l'interpelation d'une trafiquante de produit de faune le 25 août 2025 à Impfondo  pièces presse Internet (https://www.panoramik-actu.com)"/>
    <x v="10"/>
    <x v="4"/>
    <n v="6000"/>
    <n v="11.246422231927466"/>
    <n v="533.50300000000004"/>
    <x v="10"/>
    <s v="CA-S-D1"/>
    <s v="PALF"/>
    <s v="OAT"/>
    <s v="CONGO"/>
    <m/>
    <m/>
    <m/>
  </r>
  <r>
    <d v="2025-09-04T00:00:00"/>
    <s v="Bonus media portant sur l'interpelation d'une trafiquante de produit de faune le 25 août 2025 à Impfondo pièces presse Internet (https://www.tribune-eco.cg)"/>
    <x v="10"/>
    <x v="4"/>
    <n v="6000"/>
    <n v="11.246422231927466"/>
    <n v="533.50300000000004"/>
    <x v="10"/>
    <s v="CA-S-D1"/>
    <s v="PALF"/>
    <s v="OAT"/>
    <s v="CONGO"/>
    <m/>
    <m/>
    <m/>
  </r>
  <r>
    <d v="2025-09-04T00:00:00"/>
    <s v="Bonus media portant sur l'interpelation d'une trafiquante de produit de faune le 25 août 2025 à Impfondo pièces presse Internet (https://www.groupecongomedias.com)"/>
    <x v="10"/>
    <x v="4"/>
    <n v="6000"/>
    <n v="11.246422231927466"/>
    <n v="533.50300000000004"/>
    <x v="10"/>
    <s v="CA-S-D1"/>
    <s v="PALF"/>
    <s v="OAT"/>
    <s v="CONGO"/>
    <m/>
    <m/>
    <m/>
  </r>
  <r>
    <d v="2025-09-04T00:00:00"/>
    <s v="Bonus media portant sur l'interpelation d'une trafiquante de produit de faune le 25 août 2025 à Impfondo pièces presse Internet (https://www.labreveonline.com)"/>
    <x v="10"/>
    <x v="4"/>
    <n v="6000"/>
    <n v="11.246422231927466"/>
    <n v="533.50300000000004"/>
    <x v="10"/>
    <s v="CA-S-D1"/>
    <s v="PALF"/>
    <s v="OAT"/>
    <s v="CONGO"/>
    <m/>
    <m/>
    <m/>
  </r>
  <r>
    <d v="2025-09-04T00:00:00"/>
    <s v="Bonus media portant sur l'interpelation d'une trafiquante de produit de faune le 25 août 2025 à Impfondo pièces presse Internet (https://www.adiac-congo.com)"/>
    <x v="10"/>
    <x v="4"/>
    <n v="6000"/>
    <n v="11.246422231927466"/>
    <n v="533.50300000000004"/>
    <x v="10"/>
    <s v="CA-S-D1"/>
    <s v="PALF"/>
    <s v="OAT"/>
    <s v="CONGO"/>
    <m/>
    <m/>
    <m/>
  </r>
  <r>
    <d v="2025-09-04T00:00:00"/>
    <s v="Bonus media portant sur l'interpelation d'une trafiquante de produit de faune le 25 août 2025 à Impfondo pièces presse Internet (https://www.lasemaineafricaine.info)"/>
    <x v="10"/>
    <x v="4"/>
    <n v="6000"/>
    <n v="11.246422231927466"/>
    <n v="533.50300000000004"/>
    <x v="10"/>
    <s v="CA-S-D1"/>
    <s v="PALF"/>
    <s v="OAT"/>
    <s v="CONGO"/>
    <m/>
    <m/>
    <m/>
  </r>
  <r>
    <d v="2025-09-04T00:00:00"/>
    <s v="Bonus media portant sur l'interpelation d'une trafiquante de produit de faune le 25 août 2025 à Impfondo pièces presse Internet (https://www.matinlibre.cg)"/>
    <x v="10"/>
    <x v="4"/>
    <n v="6000"/>
    <n v="11.246422231927466"/>
    <n v="533.50300000000004"/>
    <x v="10"/>
    <s v="CA-S-D1"/>
    <s v="PALF"/>
    <s v="OAT"/>
    <s v="CONGO"/>
    <m/>
    <m/>
    <m/>
  </r>
  <r>
    <d v="2025-09-04T00:00:00"/>
    <s v="Bonus media portant sur l'interpelation d'une trafiquante de produit de faune le 25 août 2025 à Impfondo pièces presse Internet (https://www.firstmediac.com)"/>
    <x v="10"/>
    <x v="4"/>
    <n v="6000"/>
    <n v="11.246422231927466"/>
    <n v="533.50300000000004"/>
    <x v="10"/>
    <s v="CA-S-D1"/>
    <s v="PALF"/>
    <s v="OAT"/>
    <s v="CONGO"/>
    <m/>
    <m/>
    <m/>
  </r>
  <r>
    <d v="2025-09-04T00:00:00"/>
    <s v="Bonus media portant sur l'interpelation d'une trafiquante de produit de faune le 25 août 2025 à Impfondo pièces presse Internet (https://www.journaldebrazza.com)"/>
    <x v="10"/>
    <x v="4"/>
    <n v="6000"/>
    <n v="11.246422231927466"/>
    <n v="533.50300000000004"/>
    <x v="10"/>
    <s v="CA-S-D1"/>
    <s v="PALF"/>
    <s v="OAT"/>
    <s v="CONGO"/>
    <m/>
    <m/>
    <m/>
  </r>
  <r>
    <d v="2025-09-04T00:00:00"/>
    <s v="Bonus media portant sur l'interpelation d'une trafiquante de produit de faune le 25 août 2025 à Impfondo pièces presse Internet (https://vmmedias.info)"/>
    <x v="10"/>
    <x v="4"/>
    <n v="6000"/>
    <n v="11.246422231927466"/>
    <n v="533.50300000000004"/>
    <x v="10"/>
    <s v="CA-S-D1"/>
    <s v="PALF"/>
    <s v="OAT"/>
    <s v="CONGO"/>
    <m/>
    <m/>
    <m/>
  </r>
  <r>
    <d v="2025-09-04T00:00:00"/>
    <s v="Bonus media portant sur l'interpelation d'une trafiquante de produit de faune le 25 août 2025 à Impfondo pièces presse Internet (https://aci.cg)"/>
    <x v="10"/>
    <x v="4"/>
    <n v="6000"/>
    <n v="11.246422231927466"/>
    <n v="533.50300000000004"/>
    <x v="10"/>
    <s v="CA-S-D1"/>
    <s v="PALF"/>
    <s v="OAT"/>
    <s v="CONGO"/>
    <m/>
    <m/>
    <m/>
  </r>
  <r>
    <d v="2025-09-04T00:00:00"/>
    <s v="Bonus media portant sur l'interpelation d'une trafiquante de produit de faune le 25 août 2025 à Impfondo pièces presse Internet (https://lesechos-congobrazza.com/)"/>
    <x v="10"/>
    <x v="4"/>
    <n v="6000"/>
    <n v="11.246422231927466"/>
    <n v="533.50300000000004"/>
    <x v="10"/>
    <s v="CA-S-D1"/>
    <s v="PALF"/>
    <s v="OAT"/>
    <s v="CONGO"/>
    <m/>
    <m/>
    <m/>
  </r>
  <r>
    <d v="2025-09-04T00:00:00"/>
    <s v="Bonus media portant sur l'interpelation d'une trafiquante de produit de faune le 25 août 2025 à Impfondo pièces presse Internet (https://opinionpublique.cg)"/>
    <x v="10"/>
    <x v="4"/>
    <n v="6000"/>
    <n v="11.246422231927466"/>
    <n v="533.50300000000004"/>
    <x v="10"/>
    <s v="CA-S-D1"/>
    <s v="PALF"/>
    <s v="OAT"/>
    <s v="CONGO"/>
    <m/>
    <m/>
    <m/>
  </r>
  <r>
    <d v="2025-09-04T00:00:00"/>
    <s v="Bonus media portant sur l'interpelation d'une trafiquante de produit de faune le 25 août 2025 à Impfondo pièces presse Internet (https://www.lhorizonafricain.com)"/>
    <x v="10"/>
    <x v="4"/>
    <n v="6000"/>
    <n v="11.246422231927466"/>
    <n v="533.50300000000004"/>
    <x v="10"/>
    <s v="CA-S-D1"/>
    <s v="PALF"/>
    <s v="OAT"/>
    <s v="CONGO"/>
    <m/>
    <m/>
    <m/>
  </r>
  <r>
    <d v="2025-09-04T00:00:00"/>
    <s v="Bonus media portant sur l'interpelation d'une trafiquante de produit de faune le 25 août 2025 à Impfondo pièces presse Papier (Dépêches de Brazzaville)"/>
    <x v="10"/>
    <x v="4"/>
    <n v="10000"/>
    <n v="18.744037053212445"/>
    <n v="533.50300000000004"/>
    <x v="10"/>
    <s v="CA-S-D2"/>
    <s v="PALF"/>
    <s v="OAT"/>
    <s v="CONGO"/>
    <m/>
    <m/>
    <m/>
  </r>
  <r>
    <d v="2025-09-04T00:00:00"/>
    <s v="Bonus media portant sur l'interpelation d'une trafiquante de produit de faune le 25 août 2025 à Impfondo pièces presse Papier (la semaine Africaine)"/>
    <x v="10"/>
    <x v="4"/>
    <n v="10000"/>
    <n v="18.744037053212445"/>
    <n v="533.50300000000004"/>
    <x v="10"/>
    <s v="CA-S-D2"/>
    <s v="PALF"/>
    <s v="OAT"/>
    <s v="CONGO"/>
    <m/>
    <m/>
    <m/>
  </r>
  <r>
    <d v="2025-09-04T00:00:00"/>
    <s v="Bonus media portant sur l'interpelation d'une trafiquante de produit de faune le 25 août 2025 à Impfondo pièces presse Papier( l'horizon Africain)"/>
    <x v="10"/>
    <x v="4"/>
    <n v="10000"/>
    <n v="18.744037053212445"/>
    <n v="533.50300000000004"/>
    <x v="10"/>
    <s v="CA-S-D2"/>
    <s v="PALF"/>
    <s v="OAT"/>
    <s v="CONGO"/>
    <m/>
    <m/>
    <m/>
  </r>
  <r>
    <d v="2025-09-04T00:00:00"/>
    <s v="Bonus media portant sur l'interpelation d'une trafiquante de produit de faune le 25 août 2025 à Impfondo pièces presse Papier (l'Agence congolaise de l'information)"/>
    <x v="10"/>
    <x v="4"/>
    <n v="10000"/>
    <n v="18.744037053212445"/>
    <n v="533.50300000000004"/>
    <x v="10"/>
    <s v="CA-S-D2"/>
    <s v="PALF"/>
    <s v="OAT"/>
    <s v="CONGO"/>
    <m/>
    <m/>
    <m/>
  </r>
  <r>
    <d v="2025-09-04T00:00:00"/>
    <s v="Bonus media portant sur l'interpelation d'une trafiquante de produit de faune le 25 août 2025 à Impfondo pièces presse Radio (radio citoyenne des jeunes)"/>
    <x v="10"/>
    <x v="4"/>
    <n v="6000"/>
    <n v="11.246422231927466"/>
    <n v="533.50300000000004"/>
    <x v="10"/>
    <s v="CA-S-D3"/>
    <s v="PALF"/>
    <s v="OAT"/>
    <s v="CONGO"/>
    <m/>
    <m/>
    <m/>
  </r>
  <r>
    <d v="2025-09-04T00:00:00"/>
    <s v="Bonus media portant sur l'interpelation d'une trafiquante de produit de faune le 25 août 2025 à Impfondo pièces presse Radio (radioLiberté français)"/>
    <x v="10"/>
    <x v="4"/>
    <n v="6000"/>
    <n v="11.246422231927466"/>
    <n v="533.50300000000004"/>
    <x v="10"/>
    <s v="CA-S-D3"/>
    <s v="PALF"/>
    <s v="OAT"/>
    <s v="CONGO"/>
    <m/>
    <m/>
    <m/>
  </r>
  <r>
    <d v="2025-09-04T00:00:00"/>
    <s v="Bonus media portant sur l'interpelation d'une trafiquante de produit de faune le 25 août 2025 à Impfondo pièces presse Radio (radioLiberté kituba)"/>
    <x v="10"/>
    <x v="4"/>
    <n v="6000"/>
    <n v="11.246422231927466"/>
    <n v="533.50300000000004"/>
    <x v="10"/>
    <s v="CA-S-D3"/>
    <s v="PALF"/>
    <s v="OAT"/>
    <s v="CONGO"/>
    <m/>
    <m/>
    <m/>
  </r>
  <r>
    <d v="2025-09-04T00:00:00"/>
    <s v="Bonus media portant sur l'interpelation d'une trafiquante de produit de faune le 25 août 2025 à Impfondo pièces presse Radio (radioLiberté lingala)"/>
    <x v="10"/>
    <x v="4"/>
    <n v="6000"/>
    <n v="11.246422231927466"/>
    <n v="533.50300000000004"/>
    <x v="10"/>
    <s v="CA-S-D3"/>
    <s v="PALF"/>
    <s v="OAT"/>
    <s v="CONGO"/>
    <m/>
    <m/>
    <m/>
  </r>
  <r>
    <d v="2025-09-05T00:00:00"/>
    <s v="Maison-Bureau"/>
    <x v="0"/>
    <x v="0"/>
    <n v="1000"/>
    <n v="1.8744037053212446"/>
    <n v="533.50300000000004"/>
    <x v="0"/>
    <s v="DH-S-D1"/>
    <s v="PALF"/>
    <s v="OAT"/>
    <s v="CONGO"/>
    <m/>
    <m/>
    <m/>
  </r>
  <r>
    <d v="2025-09-05T00:00:00"/>
    <s v="Bureau-Maison"/>
    <x v="0"/>
    <x v="0"/>
    <n v="1000"/>
    <n v="1.8744037053212446"/>
    <n v="533.50300000000004"/>
    <x v="0"/>
    <s v="DH-S-D1"/>
    <s v="PALF"/>
    <s v="OAT"/>
    <s v="CONGO"/>
    <m/>
    <m/>
    <m/>
  </r>
  <r>
    <d v="2025-09-05T00:00:00"/>
    <s v="Taxi hotel-capable,prospection"/>
    <x v="0"/>
    <x v="3"/>
    <n v="1000"/>
    <n v="1.8744037053212446"/>
    <n v="533.50300000000004"/>
    <x v="3"/>
    <s v="P29-S-D1"/>
    <s v="PALF"/>
    <s v="OAT"/>
    <s v="CONGO"/>
    <m/>
    <m/>
    <m/>
  </r>
  <r>
    <d v="2025-09-05T00:00:00"/>
    <s v="Taxi capable-centre,prospection"/>
    <x v="0"/>
    <x v="3"/>
    <n v="1000"/>
    <n v="1.8744037053212446"/>
    <n v="533.50300000000004"/>
    <x v="3"/>
    <s v="P29-S-D1"/>
    <s v="PALF"/>
    <s v="OAT"/>
    <s v="CONGO"/>
    <m/>
    <m/>
    <m/>
  </r>
  <r>
    <d v="2025-09-05T00:00:00"/>
    <s v="Taxi centre-tahiti,prospection"/>
    <x v="0"/>
    <x v="3"/>
    <n v="1000"/>
    <n v="1.8744037053212446"/>
    <n v="533.50300000000004"/>
    <x v="3"/>
    <s v="P29-S-D1"/>
    <s v="PALF"/>
    <s v="OAT"/>
    <s v="CONGO"/>
    <m/>
    <m/>
    <m/>
  </r>
  <r>
    <d v="2025-09-05T00:00:00"/>
    <s v="Taxi tahiti-marché,prospection"/>
    <x v="0"/>
    <x v="3"/>
    <n v="1000"/>
    <n v="1.8744037053212446"/>
    <n v="533.50300000000004"/>
    <x v="3"/>
    <s v="P29-S-D1"/>
    <s v="PALF"/>
    <s v="OAT"/>
    <s v="CONGO"/>
    <m/>
    <m/>
    <m/>
  </r>
  <r>
    <d v="2025-09-05T00:00:00"/>
    <s v="Taxi marché-hotel"/>
    <x v="0"/>
    <x v="3"/>
    <n v="1000"/>
    <n v="1.8744037053212446"/>
    <n v="533.50300000000004"/>
    <x v="3"/>
    <s v="P29-S-D1"/>
    <s v="PALF"/>
    <s v="OAT"/>
    <s v="CONGO"/>
    <m/>
    <m/>
    <m/>
  </r>
  <r>
    <d v="2025-09-05T00:00:00"/>
    <s v="Achat boison avec un cible"/>
    <x v="11"/>
    <x v="3"/>
    <n v="1000"/>
    <n v="1.8744037053212446"/>
    <n v="533.50300000000004"/>
    <x v="3"/>
    <s v="P29-S-D3"/>
    <s v="PALF"/>
    <s v="OAT"/>
    <s v="CONGO"/>
    <m/>
    <m/>
    <m/>
  </r>
  <r>
    <d v="2025-09-05T00:00:00"/>
    <s v="Taxi : hotel le pharaon - marché (prospection à dolisie)"/>
    <x v="0"/>
    <x v="3"/>
    <n v="1000"/>
    <n v="1.8744037053212446"/>
    <n v="533.50300000000004"/>
    <x v="4"/>
    <s v="T73-S-D1"/>
    <s v="PALF"/>
    <s v="OAT"/>
    <s v="CONGO"/>
    <m/>
    <m/>
    <m/>
  </r>
  <r>
    <d v="2025-09-05T00:00:00"/>
    <s v="Taxi : marché - centre ville (prospection à dolisie)"/>
    <x v="0"/>
    <x v="3"/>
    <n v="1000"/>
    <n v="1.8744037053212446"/>
    <n v="533.50300000000004"/>
    <x v="4"/>
    <s v="T73-S-D1"/>
    <s v="PALF"/>
    <s v="OAT"/>
    <s v="CONGO"/>
    <m/>
    <m/>
    <m/>
  </r>
  <r>
    <d v="2025-09-05T00:00:00"/>
    <s v="Taxi : centre ville - mony fleury (prospection à dolisie)"/>
    <x v="0"/>
    <x v="3"/>
    <n v="1000"/>
    <n v="1.8744037053212446"/>
    <n v="533.50300000000004"/>
    <x v="4"/>
    <s v="T73-S-D1"/>
    <s v="PALF"/>
    <s v="OAT"/>
    <s v="CONGO"/>
    <m/>
    <m/>
    <m/>
  </r>
  <r>
    <d v="2025-09-05T00:00:00"/>
    <s v="Taxi : mony fleury - charden farel (prospection à dolisie)"/>
    <x v="0"/>
    <x v="3"/>
    <n v="1000"/>
    <n v="1.8744037053212446"/>
    <n v="533.50300000000004"/>
    <x v="4"/>
    <s v="T73-S-D1"/>
    <s v="PALF"/>
    <s v="OAT"/>
    <s v="CONGO"/>
    <m/>
    <m/>
    <m/>
  </r>
  <r>
    <d v="2025-09-05T00:00:00"/>
    <s v="Taxi : charden farel - hotel (prospection à dolisie)"/>
    <x v="0"/>
    <x v="3"/>
    <n v="1000"/>
    <n v="1.8744037053212446"/>
    <n v="533.50300000000004"/>
    <x v="4"/>
    <s v="T73-S-D1"/>
    <s v="PALF"/>
    <s v="OAT"/>
    <s v="CONGO"/>
    <m/>
    <m/>
    <m/>
  </r>
  <r>
    <d v="2025-09-05T00:00:00"/>
    <s v="achat boisson/une cible"/>
    <x v="11"/>
    <x v="3"/>
    <n v="2000"/>
    <n v="3.7488074106424891"/>
    <n v="533.50300000000004"/>
    <x v="4"/>
    <s v="T73-S-D3"/>
    <s v="PALF"/>
    <s v="OAT"/>
    <s v="CONGO"/>
    <m/>
    <m/>
    <m/>
  </r>
  <r>
    <d v="2025-09-05T00:00:00"/>
    <s v="Taxi tricycle : Hôtel - Nkila/ Prospection"/>
    <x v="0"/>
    <x v="3"/>
    <n v="700"/>
    <n v="1.3120825937248712"/>
    <n v="533.50300000000004"/>
    <x v="5"/>
    <s v="IT87-S-D1"/>
    <s v="PALF"/>
    <s v="OAT"/>
    <s v="CONGO"/>
    <m/>
    <m/>
    <m/>
  </r>
  <r>
    <d v="2025-09-05T00:00:00"/>
    <s v="Taxi tricycle : Nkila - Place publique/ Prospection"/>
    <x v="0"/>
    <x v="3"/>
    <n v="600"/>
    <n v="1.1246422231927466"/>
    <n v="533.50300000000004"/>
    <x v="5"/>
    <s v="IT87-S-D1"/>
    <s v="PALF"/>
    <s v="OAT"/>
    <s v="CONGO"/>
    <m/>
    <m/>
    <m/>
  </r>
  <r>
    <d v="2025-09-05T00:00:00"/>
    <s v="Achat boisson avec une cible"/>
    <x v="11"/>
    <x v="3"/>
    <n v="2000"/>
    <n v="3.7488074106424891"/>
    <n v="533.50300000000004"/>
    <x v="5"/>
    <s v="IT87-S-D2"/>
    <s v="PALF"/>
    <s v="OAT"/>
    <s v="CONGO"/>
    <m/>
    <m/>
    <m/>
  </r>
  <r>
    <d v="2025-09-05T00:00:00"/>
    <s v="Taxi tricycle : Place publique - Charden Farell/ Retrait d'argent"/>
    <x v="0"/>
    <x v="3"/>
    <n v="600"/>
    <n v="1.1246422231927466"/>
    <n v="533.50300000000004"/>
    <x v="5"/>
    <s v="IT87-S-D1"/>
    <s v="PALF"/>
    <s v="OAT"/>
    <s v="CONGO"/>
    <m/>
    <m/>
    <m/>
  </r>
  <r>
    <d v="2025-09-05T00:00:00"/>
    <s v="Taxi tricycle : Charden Farel - Rond point/ Prospection"/>
    <x v="0"/>
    <x v="3"/>
    <n v="700"/>
    <n v="1.3120825937248712"/>
    <n v="533.50300000000004"/>
    <x v="5"/>
    <s v="IT87-S-D1"/>
    <s v="PALF"/>
    <s v="OAT"/>
    <s v="CONGO"/>
    <m/>
    <m/>
    <m/>
  </r>
  <r>
    <d v="2025-09-05T00:00:00"/>
    <s v="Taxi tricycle : Rond point - Av. Midzingou/ Prospection"/>
    <x v="0"/>
    <x v="3"/>
    <n v="700"/>
    <n v="1.3120825937248712"/>
    <n v="533.50300000000004"/>
    <x v="5"/>
    <s v="IT87-S-D1"/>
    <s v="PALF"/>
    <s v="OAT"/>
    <s v="CONGO"/>
    <m/>
    <m/>
    <m/>
  </r>
  <r>
    <d v="2025-09-05T00:00:00"/>
    <s v="Taxi tricycle : Av. Midzingou - Hôtel/ Retour de Prospection"/>
    <x v="0"/>
    <x v="3"/>
    <n v="700"/>
    <n v="1.3120825937248712"/>
    <n v="533.50300000000004"/>
    <x v="5"/>
    <s v="IT87-S-D1"/>
    <s v="PALF"/>
    <s v="OAT"/>
    <s v="CONGO"/>
    <m/>
    <m/>
    <m/>
  </r>
  <r>
    <d v="2025-09-05T00:00:00"/>
    <s v="Taxi: Bureau-Charden Farell/Transfert de fonds"/>
    <x v="0"/>
    <x v="1"/>
    <n v="500"/>
    <n v="0.93720185266062228"/>
    <n v="533.50300000000004"/>
    <x v="7"/>
    <s v="AB-S-D1"/>
    <s v="PALF"/>
    <s v="OAT"/>
    <s v="CONGO"/>
    <m/>
    <m/>
    <m/>
  </r>
  <r>
    <d v="2025-09-05T00:00:00"/>
    <s v="Taxi: Charden Farel-Bureau"/>
    <x v="0"/>
    <x v="1"/>
    <n v="500"/>
    <n v="0.93720185266062228"/>
    <n v="533.50300000000004"/>
    <x v="7"/>
    <s v="AB-S-D1"/>
    <s v="PALF"/>
    <s v="OAT"/>
    <s v="CONGO"/>
    <m/>
    <m/>
    <m/>
  </r>
  <r>
    <d v="2025-09-05T00:00:00"/>
    <s v="Taxi: Bureau-DGEF Dépôt des contrats"/>
    <x v="0"/>
    <x v="1"/>
    <n v="1000"/>
    <n v="1.8744037053212446"/>
    <n v="533.50300000000004"/>
    <x v="7"/>
    <s v="AB-S-D1"/>
    <s v="PALF"/>
    <s v="OAT"/>
    <s v="CONGO"/>
    <m/>
    <m/>
    <m/>
  </r>
  <r>
    <d v="2025-09-05T00:00:00"/>
    <s v="Taxi: DGEF-Bureau"/>
    <x v="0"/>
    <x v="1"/>
    <n v="1000"/>
    <n v="1.8744037053212446"/>
    <n v="533.50300000000004"/>
    <x v="7"/>
    <s v="AB-S-D1"/>
    <s v="PALF"/>
    <s v="OAT"/>
    <s v="CONGO"/>
    <m/>
    <m/>
    <m/>
  </r>
  <r>
    <d v="2025-09-05T00:00:00"/>
    <s v="Frais de tansfert d'argent à P29, Crepin,T73, IT87 et Donald-Roméo"/>
    <x v="3"/>
    <x v="2"/>
    <n v="14790"/>
    <n v="27.722430801701208"/>
    <n v="533.50300000000004"/>
    <x v="7"/>
    <s v="CA-S-R7"/>
    <s v="PALF"/>
    <s v="OAT"/>
    <s v="CONGO"/>
    <m/>
    <m/>
    <m/>
  </r>
  <r>
    <d v="2025-09-05T00:00:00"/>
    <s v="Taxi: Bureau-Charden Farell/Transfert de fonds"/>
    <x v="0"/>
    <x v="1"/>
    <n v="500"/>
    <n v="0.93720185266062228"/>
    <n v="533.50300000000004"/>
    <x v="7"/>
    <s v="AB-S-D1"/>
    <s v="PALF"/>
    <s v="OAT"/>
    <s v="CONGO"/>
    <m/>
    <m/>
    <m/>
  </r>
  <r>
    <d v="2025-09-05T00:00:00"/>
    <s v="Taxi: Charden Farel-Bureau"/>
    <x v="0"/>
    <x v="1"/>
    <n v="500"/>
    <n v="0.93720185266062228"/>
    <n v="533.50300000000004"/>
    <x v="7"/>
    <s v="AB-S-D1"/>
    <s v="PALF"/>
    <s v="OAT"/>
    <s v="CONGO"/>
    <m/>
    <m/>
    <m/>
  </r>
  <r>
    <d v="2025-09-05T00:00:00"/>
    <s v="RODERLIN-CONGO Frais d'hôtel du 30/08/ au 05/09/2025 à Impfondo (06 nuitée)"/>
    <x v="2"/>
    <x v="1"/>
    <n v="90000"/>
    <n v="168.69633347891201"/>
    <n v="533.50300000000004"/>
    <x v="8"/>
    <s v="RO-S-R3"/>
    <s v="PALF"/>
    <s v="OAT"/>
    <s v="CONGO"/>
    <m/>
    <m/>
    <m/>
  </r>
  <r>
    <d v="2025-09-05T00:00:00"/>
    <s v="Tax-moto:Hôtel Mithe-Agence Océan du nord "/>
    <x v="0"/>
    <x v="1"/>
    <n v="500"/>
    <n v="0.93720185266062228"/>
    <n v="533.50300000000004"/>
    <x v="8"/>
    <s v="RO-S-D1"/>
    <s v="PALF"/>
    <s v="OAT"/>
    <s v="CONGO"/>
    <m/>
    <m/>
    <m/>
  </r>
  <r>
    <d v="2025-09-05T00:00:00"/>
    <s v="Taxi-moto:Agence Océan du nord de Enyele-Hôtel Paulina "/>
    <x v="0"/>
    <x v="1"/>
    <n v="500"/>
    <n v="0.93720185266062228"/>
    <n v="533.50300000000004"/>
    <x v="8"/>
    <s v="RO-S-D1"/>
    <s v="PALF"/>
    <s v="OAT"/>
    <s v="CONGO"/>
    <m/>
    <m/>
    <m/>
  </r>
  <r>
    <d v="2025-09-05T00:00:00"/>
    <s v="Taxi moto Charden farell-Hôtel Mithé"/>
    <x v="4"/>
    <x v="1"/>
    <n v="500"/>
    <n v="0.93720185266062228"/>
    <n v="533.50300000000004"/>
    <x v="9"/>
    <s v="DR-S-D1"/>
    <s v="PALF"/>
    <s v="OAT"/>
    <s v="CONGO"/>
    <m/>
    <m/>
    <m/>
  </r>
  <r>
    <d v="2025-09-06T00:00:00"/>
    <s v="Taxi moto Hôtel Mithé-Region de gendarmerie/ Rencontrer le CEMREG"/>
    <x v="4"/>
    <x v="1"/>
    <n v="500"/>
    <n v="0.93720185266062228"/>
    <n v="533.50300000000004"/>
    <x v="9"/>
    <s v="DR-S-D1"/>
    <s v="PALF"/>
    <s v="OAT"/>
    <s v="CONGO"/>
    <m/>
    <m/>
    <m/>
  </r>
  <r>
    <d v="2025-09-05T00:00:00"/>
    <s v="Taxi, Bureau PALF-firstmedias.com"/>
    <x v="0"/>
    <x v="4"/>
    <n v="1000"/>
    <n v="1.8744037053212446"/>
    <n v="533.50300000000004"/>
    <x v="10"/>
    <s v="EV-S-D1"/>
    <s v="PALF"/>
    <s v="OAT"/>
    <s v="CONGO"/>
    <m/>
    <m/>
    <m/>
  </r>
  <r>
    <d v="2025-09-05T00:00:00"/>
    <s v="Taxi, firstmedias.com-Radio Liberté"/>
    <x v="0"/>
    <x v="4"/>
    <n v="1000"/>
    <n v="1.8744037053212446"/>
    <n v="533.50300000000004"/>
    <x v="10"/>
    <s v="EV-S-D1"/>
    <s v="PALF"/>
    <s v="OAT"/>
    <s v="CONGO"/>
    <m/>
    <m/>
    <m/>
  </r>
  <r>
    <d v="2025-09-05T00:00:00"/>
    <s v="Taxi, Radio Liberté-La Semaine Africaine"/>
    <x v="0"/>
    <x v="4"/>
    <n v="1000"/>
    <n v="1.8744037053212446"/>
    <n v="533.50300000000004"/>
    <x v="10"/>
    <s v="EV-S-D1"/>
    <s v="PALF"/>
    <s v="OAT"/>
    <s v="CONGO"/>
    <m/>
    <m/>
    <m/>
  </r>
  <r>
    <d v="2025-09-05T00:00:00"/>
    <s v="Taxi, La Semaine Africaine-Bureau PALF"/>
    <x v="0"/>
    <x v="4"/>
    <n v="1000"/>
    <n v="1.8744037053212446"/>
    <n v="533.50300000000004"/>
    <x v="10"/>
    <s v="EV-S-D1"/>
    <s v="PALF"/>
    <s v="OAT"/>
    <s v="CONGO"/>
    <m/>
    <m/>
    <m/>
  </r>
  <r>
    <d v="2025-09-06T00:00:00"/>
    <s v="Taxi moto: Hôtel-Gendarmerie"/>
    <x v="0"/>
    <x v="1"/>
    <n v="500"/>
    <n v="0.93720185266062228"/>
    <n v="533.50300000000004"/>
    <x v="1"/>
    <s v="CR-S-D1"/>
    <s v="PALF"/>
    <s v="OAT"/>
    <s v="CONGO"/>
    <m/>
    <m/>
    <m/>
  </r>
  <r>
    <d v="2025-09-06T00:00:00"/>
    <s v="Taxi moto: Gendarmerie-Hôtel"/>
    <x v="0"/>
    <x v="1"/>
    <n v="500"/>
    <n v="0.93720185266062228"/>
    <n v="533.50300000000004"/>
    <x v="1"/>
    <s v="CR-S-D1"/>
    <s v="PALF"/>
    <s v="OAT"/>
    <s v="CONGO"/>
    <m/>
    <m/>
    <m/>
  </r>
  <r>
    <d v="2025-09-06T00:00:00"/>
    <s v="Taxi hotel-capable,prospection"/>
    <x v="0"/>
    <x v="3"/>
    <n v="1000"/>
    <n v="1.8744037053212446"/>
    <n v="533.50300000000004"/>
    <x v="3"/>
    <s v="P29-S-D1"/>
    <s v="PALF"/>
    <s v="OAT"/>
    <s v="CONGO"/>
    <m/>
    <m/>
    <m/>
  </r>
  <r>
    <d v="2025-09-06T00:00:00"/>
    <s v="Taxi capable-sab,prospection"/>
    <x v="0"/>
    <x v="3"/>
    <n v="1000"/>
    <n v="1.8744037053212446"/>
    <n v="533.50300000000004"/>
    <x v="3"/>
    <s v="P29-S-D1"/>
    <s v="PALF"/>
    <s v="OAT"/>
    <s v="CONGO"/>
    <m/>
    <m/>
    <m/>
  </r>
  <r>
    <d v="2025-09-06T00:00:00"/>
    <s v="Taxi sab-belolo,prospection"/>
    <x v="0"/>
    <x v="3"/>
    <n v="1000"/>
    <n v="1.8744037053212446"/>
    <n v="533.50300000000004"/>
    <x v="3"/>
    <s v="P29-S-D1"/>
    <s v="PALF"/>
    <s v="OAT"/>
    <s v="CONGO"/>
    <m/>
    <m/>
    <m/>
  </r>
  <r>
    <d v="2025-09-06T00:00:00"/>
    <s v="Taxi belolo-bacongo,prospection"/>
    <x v="0"/>
    <x v="3"/>
    <n v="1000"/>
    <n v="1.8744037053212446"/>
    <n v="533.50300000000004"/>
    <x v="3"/>
    <s v="P29-S-D1"/>
    <s v="PALF"/>
    <s v="OAT"/>
    <s v="CONGO"/>
    <m/>
    <m/>
    <m/>
  </r>
  <r>
    <d v="2025-09-06T00:00:00"/>
    <s v="Taxi bacongo-hotel"/>
    <x v="0"/>
    <x v="3"/>
    <n v="1000"/>
    <n v="1.8744037053212446"/>
    <n v="533.50300000000004"/>
    <x v="3"/>
    <s v="P29-S-D1"/>
    <s v="PALF"/>
    <s v="OAT"/>
    <s v="CONGO"/>
    <m/>
    <m/>
    <m/>
  </r>
  <r>
    <d v="2025-09-06T00:00:00"/>
    <s v="Achat boison avec un cible"/>
    <x v="11"/>
    <x v="3"/>
    <n v="2000"/>
    <n v="3.7488074106424891"/>
    <n v="533.50300000000004"/>
    <x v="3"/>
    <s v="P29-S-D3"/>
    <s v="PALF"/>
    <s v="OAT"/>
    <s v="CONGO"/>
    <m/>
    <m/>
    <m/>
  </r>
  <r>
    <d v="2025-09-06T00:00:00"/>
    <s v="Taxi : hotel - gare routière (départ pour loudima)"/>
    <x v="0"/>
    <x v="3"/>
    <n v="1000"/>
    <n v="1.8744037053212446"/>
    <n v="533.50300000000004"/>
    <x v="4"/>
    <s v="T73-S-D1"/>
    <s v="PALF"/>
    <s v="OAT"/>
    <s v="CONGO"/>
    <m/>
    <m/>
    <m/>
  </r>
  <r>
    <d v="2025-09-06T00:00:00"/>
    <s v="Achat billet : dolisie - loudima/T73"/>
    <x v="0"/>
    <x v="3"/>
    <n v="3000"/>
    <n v="5.6232111159637332"/>
    <n v="533.50300000000004"/>
    <x v="4"/>
    <s v="T73-S-R4"/>
    <s v="PALF"/>
    <s v="OAT"/>
    <s v="CONGO"/>
    <m/>
    <m/>
    <m/>
  </r>
  <r>
    <d v="2025-09-06T00:00:00"/>
    <s v="Taxi moto : parking - RN1 ( prospection à loudima)"/>
    <x v="0"/>
    <x v="3"/>
    <n v="1000"/>
    <n v="1.8744037053212446"/>
    <n v="533.50300000000004"/>
    <x v="4"/>
    <s v="T73-S-D1"/>
    <s v="PALF"/>
    <s v="OAT"/>
    <s v="CONGO"/>
    <m/>
    <m/>
    <m/>
  </r>
  <r>
    <d v="2025-09-06T00:00:00"/>
    <s v="Taxi moto : RN1 - marché ( prospection à loudima)"/>
    <x v="0"/>
    <x v="3"/>
    <n v="1000"/>
    <n v="1.8744037053212446"/>
    <n v="533.50300000000004"/>
    <x v="4"/>
    <s v="T73-S-D1"/>
    <s v="PALF"/>
    <s v="OAT"/>
    <s v="CONGO"/>
    <m/>
    <m/>
    <m/>
  </r>
  <r>
    <d v="2025-09-06T00:00:00"/>
    <s v="Taxi moto : marché- centre ville ( prospection à loudima)"/>
    <x v="0"/>
    <x v="3"/>
    <n v="1000"/>
    <n v="1.8744037053212446"/>
    <n v="533.50300000000004"/>
    <x v="4"/>
    <s v="T73-S-D1"/>
    <s v="PALF"/>
    <s v="OAT"/>
    <s v="CONGO"/>
    <m/>
    <m/>
    <m/>
  </r>
  <r>
    <d v="2025-09-06T00:00:00"/>
    <s v="Taxi moto : centre ville- parking ( retour sur dolisie)"/>
    <x v="0"/>
    <x v="3"/>
    <n v="1000"/>
    <n v="1.8744037053212446"/>
    <n v="533.50300000000004"/>
    <x v="4"/>
    <s v="T73-S-D1"/>
    <s v="PALF"/>
    <s v="OAT"/>
    <s v="CONGO"/>
    <m/>
    <m/>
    <m/>
  </r>
  <r>
    <d v="2025-09-06T00:00:00"/>
    <s v="Achat billet: loudima - dolisie/T73"/>
    <x v="0"/>
    <x v="3"/>
    <n v="3000"/>
    <n v="5.6232111159637332"/>
    <n v="533.50300000000004"/>
    <x v="4"/>
    <s v="T73-S-R5"/>
    <s v="PALF"/>
    <s v="OAT"/>
    <s v="CONGO"/>
    <m/>
    <m/>
    <m/>
  </r>
  <r>
    <d v="2025-09-06T00:00:00"/>
    <s v="achat boisson/une cible"/>
    <x v="11"/>
    <x v="3"/>
    <n v="1500"/>
    <n v="2.8116055579818666"/>
    <n v="533.50300000000004"/>
    <x v="4"/>
    <s v="T73-S-D3"/>
    <s v="PALF"/>
    <s v="OAT"/>
    <s v="CONGO"/>
    <m/>
    <m/>
    <m/>
  </r>
  <r>
    <d v="2025-09-06T00:00:00"/>
    <s v="Taxi : gare routière - hotel pharaon( retour sur dolisie)"/>
    <x v="0"/>
    <x v="3"/>
    <n v="1000"/>
    <n v="1.8744037053212446"/>
    <n v="533.50300000000004"/>
    <x v="4"/>
    <s v="T73-S-D1"/>
    <s v="PALF"/>
    <s v="OAT"/>
    <s v="CONGO"/>
    <m/>
    <m/>
    <m/>
  </r>
  <r>
    <d v="2025-09-06T00:00:00"/>
    <s v="Taxi tricycle : Hôtel - Centre/ Prospection"/>
    <x v="0"/>
    <x v="3"/>
    <n v="700"/>
    <n v="1.3120825937248712"/>
    <n v="533.50300000000004"/>
    <x v="5"/>
    <s v="IT87-S-D1"/>
    <s v="PALF"/>
    <s v="OAT"/>
    <s v="CONGO"/>
    <m/>
    <m/>
    <m/>
  </r>
  <r>
    <d v="2025-09-06T00:00:00"/>
    <s v="Achat boisson avec une cible"/>
    <x v="11"/>
    <x v="3"/>
    <n v="1500"/>
    <n v="2.8116055579818666"/>
    <n v="533.50300000000004"/>
    <x v="5"/>
    <s v="IT87-S-D2"/>
    <s v="PALF"/>
    <s v="OAT"/>
    <s v="CONGO"/>
    <m/>
    <m/>
    <m/>
  </r>
  <r>
    <d v="2025-09-06T00:00:00"/>
    <s v="Taxi tricycle : Centre - Marché/ Prospection"/>
    <x v="0"/>
    <x v="3"/>
    <n v="700"/>
    <n v="1.3120825937248712"/>
    <n v="533.50300000000004"/>
    <x v="5"/>
    <s v="IT87-S-D1"/>
    <s v="PALF"/>
    <s v="OAT"/>
    <s v="CONGO"/>
    <m/>
    <m/>
    <m/>
  </r>
  <r>
    <d v="2025-09-06T00:00:00"/>
    <s v="Taxi tricycle : Marché - Gare routière/ Prospection"/>
    <x v="0"/>
    <x v="3"/>
    <n v="700"/>
    <n v="1.3120825937248712"/>
    <n v="533.50300000000004"/>
    <x v="5"/>
    <s v="IT87-S-D1"/>
    <s v="PALF"/>
    <s v="OAT"/>
    <s v="CONGO"/>
    <m/>
    <m/>
    <m/>
  </r>
  <r>
    <d v="2025-09-06T00:00:00"/>
    <s v="Achat boisson avec une cible"/>
    <x v="11"/>
    <x v="3"/>
    <n v="2000"/>
    <n v="3.7488074106424891"/>
    <n v="533.50300000000004"/>
    <x v="5"/>
    <s v="IT87-S-D2"/>
    <s v="PALF"/>
    <s v="OAT"/>
    <s v="CONGO"/>
    <m/>
    <m/>
    <m/>
  </r>
  <r>
    <d v="2025-09-06T00:00:00"/>
    <s v="Taxi tricycle : Gare routière - Hôtel/ Retour de prospection"/>
    <x v="0"/>
    <x v="3"/>
    <n v="700"/>
    <n v="1.3120825937248712"/>
    <n v="533.50300000000004"/>
    <x v="5"/>
    <s v="IT87-S-D1"/>
    <s v="PALF"/>
    <s v="OAT"/>
    <s v="CONGO"/>
    <m/>
    <m/>
    <m/>
  </r>
  <r>
    <d v="2025-09-06T00:00:00"/>
    <s v="RODERLIN-CONGO Frais d'hôtel du 05 au 06/09/2025 à Enyele (01 nuitée)"/>
    <x v="2"/>
    <x v="1"/>
    <n v="15000"/>
    <n v="28.116055579818667"/>
    <n v="533.50300000000004"/>
    <x v="8"/>
    <s v="RO-S-R4"/>
    <s v="PALF"/>
    <s v="OAT"/>
    <s v="CONGO"/>
    <m/>
    <m/>
    <m/>
  </r>
  <r>
    <d v="2025-09-06T00:00:00"/>
    <s v="Taxi:Hôtel Paulina-Agence Océan du nord de Enyele "/>
    <x v="0"/>
    <x v="1"/>
    <n v="500"/>
    <n v="0.93720185266062228"/>
    <n v="533.50300000000004"/>
    <x v="8"/>
    <s v="RO-S-D1"/>
    <s v="PALF"/>
    <s v="OAT"/>
    <s v="CONGO"/>
    <m/>
    <m/>
    <m/>
  </r>
  <r>
    <d v="2025-09-06T00:00:00"/>
    <s v="Taxi-moto:Agence Océan du nord de Gamboma-Hôtel Baobab"/>
    <x v="0"/>
    <x v="1"/>
    <n v="500"/>
    <n v="0.93720185266062228"/>
    <n v="533.50300000000004"/>
    <x v="8"/>
    <s v="RO-S-D1"/>
    <s v="PALF"/>
    <s v="OAT"/>
    <s v="CONGO"/>
    <m/>
    <m/>
    <m/>
  </r>
  <r>
    <d v="2025-09-06T00:00:00"/>
    <s v="Taxi moto Gendarmerie- Hôtel Mithé"/>
    <x v="4"/>
    <x v="1"/>
    <n v="500"/>
    <n v="0.93720185266062228"/>
    <n v="533.50300000000004"/>
    <x v="9"/>
    <s v="DR-S-D1"/>
    <s v="PALF"/>
    <s v="OAT"/>
    <s v="CONGO"/>
    <m/>
    <m/>
    <m/>
  </r>
  <r>
    <d v="2025-09-06T00:00:00"/>
    <s v="Taxi moto Hôtel Mithé- Agence Océan du Nord/ Pour le repport des billets"/>
    <x v="4"/>
    <x v="1"/>
    <n v="500"/>
    <n v="0.93720185266062228"/>
    <n v="533.50300000000004"/>
    <x v="9"/>
    <s v="DR-S-D1"/>
    <s v="PALF"/>
    <s v="OAT"/>
    <s v="CONGO"/>
    <m/>
    <m/>
    <m/>
  </r>
  <r>
    <d v="2025-09-06T00:00:00"/>
    <s v="Taxi moto Agence Océan du Nord-Hôtel Mithé"/>
    <x v="4"/>
    <x v="1"/>
    <n v="500"/>
    <n v="0.93720185266062228"/>
    <n v="533.50300000000004"/>
    <x v="9"/>
    <s v="DR-S-D1"/>
    <s v="PALF"/>
    <s v="OAT"/>
    <s v="CONGO"/>
    <m/>
    <m/>
    <m/>
  </r>
  <r>
    <d v="2025-09-07T00:00:00"/>
    <s v="Taxi moto Hôtel Mithé-Region de gendarmerie/ Rencontrer le CEMREG"/>
    <x v="4"/>
    <x v="1"/>
    <n v="500"/>
    <n v="0.93720185266062228"/>
    <n v="533.50300000000004"/>
    <x v="9"/>
    <s v="DR-S-D1"/>
    <s v="PALF"/>
    <s v="OAT"/>
    <s v="CONGO"/>
    <m/>
    <m/>
    <m/>
  </r>
  <r>
    <d v="2025-09-07T00:00:00"/>
    <s v="Règlement Loyer Août/Coordinateur"/>
    <x v="6"/>
    <x v="0"/>
    <n v="174625"/>
    <n v="327.31774704172233"/>
    <n v="533.50300000000004"/>
    <x v="0"/>
    <s v="DH-S-R2"/>
    <s v="PALF"/>
    <s v="OAT"/>
    <s v="CONGO"/>
    <m/>
    <m/>
    <m/>
  </r>
  <r>
    <d v="2025-09-07T00:00:00"/>
    <s v="Maison-Bureau"/>
    <x v="0"/>
    <x v="0"/>
    <n v="1000"/>
    <n v="1.8744037053212446"/>
    <n v="533.50300000000004"/>
    <x v="0"/>
    <s v="DH-S-D1"/>
    <s v="PALF"/>
    <s v="OAT"/>
    <s v="CONGO"/>
    <m/>
    <m/>
    <m/>
  </r>
  <r>
    <d v="2025-09-07T00:00:00"/>
    <s v="Bureau-Maison"/>
    <x v="0"/>
    <x v="0"/>
    <n v="1000"/>
    <n v="1.8744037053212446"/>
    <n v="533.50300000000004"/>
    <x v="0"/>
    <s v="DH-S-D1"/>
    <s v="PALF"/>
    <s v="OAT"/>
    <s v="CONGO"/>
    <m/>
    <m/>
    <m/>
  </r>
  <r>
    <d v="2025-09-07T00:00:00"/>
    <s v="Taxi moto: Hôtel-Gendarmerie"/>
    <x v="0"/>
    <x v="1"/>
    <n v="500"/>
    <n v="0.93720185266062228"/>
    <n v="533.50300000000004"/>
    <x v="1"/>
    <s v="CR-S-D1"/>
    <s v="PALF"/>
    <s v="OAT"/>
    <s v="CONGO"/>
    <m/>
    <m/>
    <m/>
  </r>
  <r>
    <d v="2025-09-07T00:00:00"/>
    <s v="Taxi moto: Gendarmerie-Hôtel"/>
    <x v="0"/>
    <x v="1"/>
    <n v="500"/>
    <n v="0.93720185266062228"/>
    <n v="533.50300000000004"/>
    <x v="1"/>
    <s v="CR-S-D1"/>
    <s v="PALF"/>
    <s v="OAT"/>
    <s v="CONGO"/>
    <m/>
    <m/>
    <m/>
  </r>
  <r>
    <d v="2025-09-07T00:00:00"/>
    <s v="Achat Carburant de la BJ aller-retour Impfondo-Dangou"/>
    <x v="0"/>
    <x v="1"/>
    <n v="50000"/>
    <n v="93.720185266062231"/>
    <n v="533.50300000000004"/>
    <x v="1"/>
    <s v="CR-S-R2"/>
    <s v="PALF"/>
    <s v="OAT"/>
    <s v="CONGO"/>
    <m/>
    <m/>
    <m/>
  </r>
  <r>
    <d v="2025-09-07T00:00:00"/>
    <s v="Repas pour les elements  pour la mission de Dangou "/>
    <x v="2"/>
    <x v="1"/>
    <n v="24400"/>
    <n v="45.735450409838364"/>
    <n v="533.50300000000004"/>
    <x v="1"/>
    <s v="CR-S-R3"/>
    <s v="PALF"/>
    <s v="OAT"/>
    <s v="CONGO"/>
    <m/>
    <m/>
    <m/>
  </r>
  <r>
    <d v="2025-09-07T00:00:00"/>
    <s v="Taxi hotel-magadzi,prospection"/>
    <x v="0"/>
    <x v="3"/>
    <n v="1000"/>
    <n v="1.8744037053212446"/>
    <n v="533.50300000000004"/>
    <x v="3"/>
    <s v="P29-S-D1"/>
    <s v="PALF"/>
    <s v="OAT"/>
    <s v="CONGO"/>
    <m/>
    <m/>
    <m/>
  </r>
  <r>
    <d v="2025-09-07T00:00:00"/>
    <s v="Taxi magadzi-aeroport,prospection"/>
    <x v="0"/>
    <x v="3"/>
    <n v="1000"/>
    <n v="1.8744037053212446"/>
    <n v="533.50300000000004"/>
    <x v="3"/>
    <s v="P29-S-D1"/>
    <s v="PALF"/>
    <s v="OAT"/>
    <s v="CONGO"/>
    <m/>
    <m/>
    <m/>
  </r>
  <r>
    <d v="2025-09-07T00:00:00"/>
    <s v="Taxi aeroport-tahiti,prospection"/>
    <x v="0"/>
    <x v="3"/>
    <n v="1000"/>
    <n v="1.8744037053212446"/>
    <n v="533.50300000000004"/>
    <x v="3"/>
    <s v="P29-S-D1"/>
    <s v="PALF"/>
    <s v="OAT"/>
    <s v="CONGO"/>
    <m/>
    <m/>
    <m/>
  </r>
  <r>
    <d v="2025-09-07T00:00:00"/>
    <s v="Taxi tahiti-tsila,prospection"/>
    <x v="0"/>
    <x v="3"/>
    <n v="1000"/>
    <n v="1.8744037053212446"/>
    <n v="533.50300000000004"/>
    <x v="3"/>
    <s v="P29-S-D1"/>
    <s v="PALF"/>
    <s v="OAT"/>
    <s v="CONGO"/>
    <m/>
    <m/>
    <m/>
  </r>
  <r>
    <d v="2025-09-07T00:00:00"/>
    <s v="Taxi tsila-maboulou,prospection"/>
    <x v="0"/>
    <x v="3"/>
    <n v="1000"/>
    <n v="1.8744037053212446"/>
    <n v="533.50300000000004"/>
    <x v="3"/>
    <s v="P29-S-D1"/>
    <s v="PALF"/>
    <s v="OAT"/>
    <s v="CONGO"/>
    <m/>
    <m/>
    <m/>
  </r>
  <r>
    <d v="2025-09-07T00:00:00"/>
    <s v="Taxi maboulou-hotel"/>
    <x v="0"/>
    <x v="3"/>
    <n v="1000"/>
    <n v="1.8744037053212446"/>
    <n v="533.50300000000004"/>
    <x v="3"/>
    <s v="P29-S-D1"/>
    <s v="PALF"/>
    <s v="OAT"/>
    <s v="CONGO"/>
    <m/>
    <m/>
    <m/>
  </r>
  <r>
    <d v="2025-09-07T00:00:00"/>
    <s v="Achat boison avec un cible"/>
    <x v="11"/>
    <x v="3"/>
    <n v="2000"/>
    <n v="3.7488074106424891"/>
    <n v="533.50300000000004"/>
    <x v="3"/>
    <s v="P29-S-D3"/>
    <s v="PALF"/>
    <s v="OAT"/>
    <s v="CONGO"/>
    <m/>
    <m/>
    <m/>
  </r>
  <r>
    <d v="2025-09-07T00:00:00"/>
    <s v="Taxi : hotel pharaon - centre ville ( prospection à dolisie)"/>
    <x v="0"/>
    <x v="3"/>
    <n v="1000"/>
    <n v="1.8744037053212446"/>
    <n v="533.50300000000004"/>
    <x v="4"/>
    <s v="T73-S-D1"/>
    <s v="PALF"/>
    <s v="OAT"/>
    <s v="CONGO"/>
    <m/>
    <m/>
    <m/>
  </r>
  <r>
    <d v="2025-09-07T00:00:00"/>
    <s v="Taxi : centre ville - tsila (prospection à dolisie)"/>
    <x v="0"/>
    <x v="3"/>
    <n v="1000"/>
    <n v="1.8744037053212446"/>
    <n v="533.50300000000004"/>
    <x v="4"/>
    <s v="T73-S-D1"/>
    <s v="PALF"/>
    <s v="OAT"/>
    <s v="CONGO"/>
    <m/>
    <m/>
    <m/>
  </r>
  <r>
    <d v="2025-09-07T00:00:00"/>
    <s v="Taxi : tsila - lisanga (prospection à dolisie)"/>
    <x v="0"/>
    <x v="3"/>
    <n v="1000"/>
    <n v="1.8744037053212446"/>
    <n v="533.50300000000004"/>
    <x v="4"/>
    <s v="T73-S-D1"/>
    <s v="PALF"/>
    <s v="OAT"/>
    <s v="CONGO"/>
    <m/>
    <m/>
    <m/>
  </r>
  <r>
    <d v="2025-09-07T00:00:00"/>
    <s v="Taxi : lisanga - hotel (prospection à dolisie)"/>
    <x v="0"/>
    <x v="3"/>
    <n v="1000"/>
    <n v="1.8744037053212446"/>
    <n v="533.50300000000004"/>
    <x v="4"/>
    <s v="T73-S-D1"/>
    <s v="PALF"/>
    <s v="OAT"/>
    <s v="CONGO"/>
    <m/>
    <m/>
    <m/>
  </r>
  <r>
    <d v="2025-09-07T00:00:00"/>
    <s v="achat boisson/une cible"/>
    <x v="11"/>
    <x v="3"/>
    <n v="1000"/>
    <n v="1.8744037053212446"/>
    <n v="533.50300000000004"/>
    <x v="4"/>
    <s v="T73-S-D3"/>
    <s v="PALF"/>
    <s v="OAT"/>
    <s v="CONGO"/>
    <m/>
    <m/>
    <m/>
  </r>
  <r>
    <d v="2025-09-07T00:00:00"/>
    <s v="Taxi tricycle : Hôtel - Rond point/ Départ de Mouyondzi pour Yamba"/>
    <x v="0"/>
    <x v="3"/>
    <n v="700"/>
    <n v="1.3120825937248712"/>
    <n v="533.50300000000004"/>
    <x v="5"/>
    <s v="IT87-S-D1"/>
    <s v="PALF"/>
    <s v="OAT"/>
    <s v="CONGO"/>
    <m/>
    <m/>
    <m/>
  </r>
  <r>
    <d v="2025-09-07T00:00:00"/>
    <s v="Achat billet Mouyondzi - Yamba/ IT87"/>
    <x v="0"/>
    <x v="3"/>
    <n v="5000"/>
    <n v="9.3720185266062224"/>
    <n v="533.50300000000004"/>
    <x v="5"/>
    <s v="IT87-S-R3"/>
    <s v="PALF"/>
    <s v="OAT"/>
    <s v="CONGO"/>
    <m/>
    <m/>
    <m/>
  </r>
  <r>
    <d v="2025-09-07T00:00:00"/>
    <s v="Taxi moto : Ntembele - Centre/ Prospection"/>
    <x v="0"/>
    <x v="3"/>
    <n v="500"/>
    <n v="0.93720185266062228"/>
    <n v="533.50300000000004"/>
    <x v="5"/>
    <s v="IT87-S-D1"/>
    <s v="PALF"/>
    <s v="OAT"/>
    <s v="CONGO"/>
    <m/>
    <m/>
    <m/>
  </r>
  <r>
    <d v="2025-09-07T00:00:00"/>
    <s v="Taxi moto : Centre - Hôpital de district/ Prospection"/>
    <x v="0"/>
    <x v="3"/>
    <n v="500"/>
    <n v="0.93720185266062228"/>
    <n v="533.50300000000004"/>
    <x v="5"/>
    <s v="IT87-S-D1"/>
    <s v="PALF"/>
    <s v="OAT"/>
    <s v="CONGO"/>
    <m/>
    <m/>
    <m/>
  </r>
  <r>
    <d v="2025-09-07T00:00:00"/>
    <s v="Taxi moto : Hôpital de district - Mboubou/ Prospection"/>
    <x v="0"/>
    <x v="3"/>
    <n v="500"/>
    <n v="0.93720185266062228"/>
    <n v="533.50300000000004"/>
    <x v="5"/>
    <s v="IT87-S-D1"/>
    <s v="PALF"/>
    <s v="OAT"/>
    <s v="CONGO"/>
    <m/>
    <m/>
    <m/>
  </r>
  <r>
    <d v="2025-09-07T00:00:00"/>
    <s v="Taxi moto : Mboubou - Centre/ Prospection"/>
    <x v="0"/>
    <x v="3"/>
    <n v="500"/>
    <n v="0.93720185266062228"/>
    <n v="533.50300000000004"/>
    <x v="5"/>
    <s v="IT87-S-D1"/>
    <s v="PALF"/>
    <s v="OAT"/>
    <s v="CONGO"/>
    <m/>
    <m/>
    <m/>
  </r>
  <r>
    <d v="2025-09-07T00:00:00"/>
    <s v="Achat billet : Yamba - Mouyondzi"/>
    <x v="0"/>
    <x v="3"/>
    <n v="5000"/>
    <n v="9.3720185266062224"/>
    <n v="533.50300000000004"/>
    <x v="5"/>
    <s v="IT87-S-R4"/>
    <s v="PALF"/>
    <s v="OAT"/>
    <s v="CONGO"/>
    <m/>
    <m/>
    <m/>
  </r>
  <r>
    <d v="2025-09-07T00:00:00"/>
    <s v="Taxi tricycle : Rond point - Hôtel/ Retour de prospection"/>
    <x v="0"/>
    <x v="3"/>
    <n v="700"/>
    <n v="1.3120825937248712"/>
    <n v="533.50300000000004"/>
    <x v="5"/>
    <s v="IT87-S-D1"/>
    <s v="PALF"/>
    <s v="OAT"/>
    <s v="CONGO"/>
    <m/>
    <m/>
    <m/>
  </r>
  <r>
    <d v="2025-09-07T00:00:00"/>
    <s v="RODERLIN-CONGO Frais d'hôtel du 06 au 07/09/2025 à Gamboma (01 nuitée)"/>
    <x v="2"/>
    <x v="1"/>
    <n v="15000"/>
    <n v="28.116055579818667"/>
    <n v="533.50300000000004"/>
    <x v="8"/>
    <s v="RO-S-R5"/>
    <s v="PALF"/>
    <s v="OAT"/>
    <s v="CONGO"/>
    <m/>
    <m/>
    <m/>
  </r>
  <r>
    <d v="2025-09-07T00:00:00"/>
    <s v="Taxi-moto:Hôtel Baobab-Agence Océan du nord "/>
    <x v="0"/>
    <x v="1"/>
    <n v="500"/>
    <n v="0.93720185266062228"/>
    <n v="533.50300000000004"/>
    <x v="8"/>
    <s v="RO-S-D1"/>
    <s v="PALF"/>
    <s v="OAT"/>
    <s v="CONGO"/>
    <m/>
    <m/>
    <m/>
  </r>
  <r>
    <d v="2025-09-07T00:00:00"/>
    <s v="Taxi:Agence Océan du nord de la liberté-Domicile "/>
    <x v="0"/>
    <x v="1"/>
    <n v="1000"/>
    <n v="1.8744037053212446"/>
    <n v="533.50300000000004"/>
    <x v="8"/>
    <s v="RO-S-D1"/>
    <s v="PALF"/>
    <s v="OAT"/>
    <s v="CONGO"/>
    <m/>
    <m/>
    <m/>
  </r>
  <r>
    <d v="2025-09-07T00:00:00"/>
    <s v="Taxi moto Bankandi- Hôtel Mithé/ Après l'achat du carburant"/>
    <x v="4"/>
    <x v="1"/>
    <n v="500"/>
    <n v="0.93720185266062228"/>
    <n v="533.50300000000004"/>
    <x v="9"/>
    <s v="DR-S-D1"/>
    <s v="PALF"/>
    <s v="OAT"/>
    <s v="CONGO"/>
    <m/>
    <m/>
    <m/>
  </r>
  <r>
    <d v="2025-09-07T00:00:00"/>
    <s v="Taxi moto Hôtel Mithé-Bankandi/ Boutique/ Achat rafraîchissement"/>
    <x v="4"/>
    <x v="1"/>
    <n v="500"/>
    <n v="0.93720185266062228"/>
    <n v="533.50300000000004"/>
    <x v="9"/>
    <s v="DR-S-D1"/>
    <s v="PALF"/>
    <s v="OAT"/>
    <s v="CONGO"/>
    <m/>
    <m/>
    <m/>
  </r>
  <r>
    <d v="2025-09-07T00:00:00"/>
    <s v="Taxi moto Bankandi- Hôtel Mithé"/>
    <x v="4"/>
    <x v="1"/>
    <n v="500"/>
    <n v="0.93720185266062228"/>
    <n v="533.50300000000004"/>
    <x v="9"/>
    <s v="DR-S-D1"/>
    <s v="PALF"/>
    <s v="OAT"/>
    <s v="CONGO"/>
    <m/>
    <m/>
    <m/>
  </r>
  <r>
    <d v="2025-09-08T00:00:00"/>
    <s v="Taxi moto Gendarmerie- Hôtel Mithé/ Après Dongou"/>
    <x v="4"/>
    <x v="1"/>
    <n v="500"/>
    <n v="0.93720185266062228"/>
    <n v="533.50300000000004"/>
    <x v="9"/>
    <s v="DR-S-D1"/>
    <s v="PALF"/>
    <s v="OAT"/>
    <s v="CONGO"/>
    <m/>
    <m/>
    <m/>
  </r>
  <r>
    <d v="2025-09-08T00:00:00"/>
    <s v="Maison-Bureau"/>
    <x v="0"/>
    <x v="0"/>
    <n v="1000"/>
    <n v="1.8744037053212446"/>
    <n v="533.50300000000004"/>
    <x v="0"/>
    <s v="DH-S-D1"/>
    <s v="PALF"/>
    <s v="OAT"/>
    <s v="CONGO"/>
    <m/>
    <m/>
    <m/>
  </r>
  <r>
    <d v="2025-09-08T00:00:00"/>
    <s v="Bureau-Maison"/>
    <x v="0"/>
    <x v="0"/>
    <n v="1000"/>
    <n v="1.8744037053212446"/>
    <n v="533.50300000000004"/>
    <x v="0"/>
    <s v="DH-S-D1"/>
    <s v="PALF"/>
    <s v="OAT"/>
    <s v="CONGO"/>
    <m/>
    <m/>
    <m/>
  </r>
  <r>
    <d v="2025-09-08T00:00:00"/>
    <s v="Credit telephonique MTN/PALF/ du 08 au 14 Septembre 2025/DOVI"/>
    <x v="1"/>
    <x v="0"/>
    <n v="12500"/>
    <n v="23.430046316515558"/>
    <n v="533.50300000000004"/>
    <x v="0"/>
    <s v="DH-S-R3"/>
    <s v="PALF"/>
    <s v="OAT"/>
    <s v="CONGO"/>
    <m/>
    <m/>
    <m/>
  </r>
  <r>
    <d v="2025-09-08T00:00:00"/>
    <s v="Plats pour les éléments pendant la mission de Dangou"/>
    <x v="2"/>
    <x v="1"/>
    <n v="27500"/>
    <n v="51.546101896334221"/>
    <n v="533.50300000000004"/>
    <x v="1"/>
    <s v="CR-S-R4"/>
    <s v="PALF"/>
    <s v="OAT"/>
    <s v="CONGO"/>
    <m/>
    <m/>
    <m/>
  </r>
  <r>
    <d v="2025-09-08T00:00:00"/>
    <s v="Credit telephonique MTN PALF/du 08 au 14 septembre 2025/ crepin"/>
    <x v="1"/>
    <x v="1"/>
    <n v="10000"/>
    <n v="18.744037053212445"/>
    <n v="533.50300000000004"/>
    <x v="1"/>
    <s v="CR-S-R5"/>
    <s v="PALF"/>
    <s v="OAT"/>
    <s v="CONGO"/>
    <m/>
    <m/>
    <m/>
  </r>
  <r>
    <d v="2025-09-08T00:00:00"/>
    <s v="Taxi:  Bureau-Banque BCI/ Retrait espece"/>
    <x v="0"/>
    <x v="2"/>
    <n v="1000"/>
    <n v="1.8744037053212446"/>
    <n v="533.50300000000004"/>
    <x v="2"/>
    <s v="P-S-D1"/>
    <s v="PALF"/>
    <s v="OAT"/>
    <s v="CONGO"/>
    <m/>
    <m/>
    <m/>
  </r>
  <r>
    <d v="2025-09-08T00:00:00"/>
    <s v="Taxi:  Banque BCI - Direction MTN /Complement Achat crédit bureau PALF"/>
    <x v="0"/>
    <x v="2"/>
    <n v="500"/>
    <n v="0.93720185266062228"/>
    <n v="533.50300000000004"/>
    <x v="2"/>
    <s v="P-S-D1"/>
    <s v="PALF"/>
    <s v="OAT"/>
    <s v="CONGO"/>
    <m/>
    <m/>
    <m/>
  </r>
  <r>
    <d v="2025-09-08T00:00:00"/>
    <s v="Taxi: Direction MTN-Bureau"/>
    <x v="0"/>
    <x v="2"/>
    <n v="1000"/>
    <n v="1.8744037053212446"/>
    <n v="533.50300000000004"/>
    <x v="2"/>
    <s v="P-S-D1"/>
    <s v="PALF"/>
    <s v="OAT"/>
    <s v="CONGO"/>
    <m/>
    <m/>
    <m/>
  </r>
  <r>
    <d v="2025-09-08T00:00:00"/>
    <s v="Credit teléphonique MTN PALF/ du 08 au 14 septembre 2025/ Parfaite"/>
    <x v="1"/>
    <x v="0"/>
    <n v="7500"/>
    <n v="14.058027789909334"/>
    <n v="533.50300000000004"/>
    <x v="2"/>
    <s v="P-S-R2"/>
    <s v="PALF"/>
    <s v="OAT"/>
    <s v="CONGO"/>
    <m/>
    <m/>
    <m/>
  </r>
  <r>
    <d v="2025-09-08T00:00:00"/>
    <s v="Achat billet Dolisie-Ditadi/P29"/>
    <x v="0"/>
    <x v="3"/>
    <n v="3000"/>
    <n v="5.6232111159637332"/>
    <n v="533.50300000000004"/>
    <x v="3"/>
    <s v="P29-S-R4"/>
    <s v="PALF"/>
    <s v="OAT"/>
    <s v="CONGO"/>
    <m/>
    <m/>
    <m/>
  </r>
  <r>
    <d v="2025-09-08T00:00:00"/>
    <s v="Taxi hotel-gare routière,départ pour ditadi"/>
    <x v="0"/>
    <x v="3"/>
    <n v="1500"/>
    <n v="2.8116055579818666"/>
    <n v="533.50300000000004"/>
    <x v="3"/>
    <s v="P29-S-D1"/>
    <s v="PALF"/>
    <s v="OAT"/>
    <s v="CONGO"/>
    <m/>
    <m/>
    <m/>
  </r>
  <r>
    <d v="2025-09-08T00:00:00"/>
    <s v="Taxi gare routière-matolo"/>
    <x v="0"/>
    <x v="3"/>
    <n v="1000"/>
    <n v="1.8744037053212446"/>
    <n v="533.50300000000004"/>
    <x v="3"/>
    <s v="P29-S-D1"/>
    <s v="PALF"/>
    <s v="OAT"/>
    <s v="CONGO"/>
    <m/>
    <m/>
    <m/>
  </r>
  <r>
    <d v="2025-09-08T00:00:00"/>
    <s v="Taxi matolo-marché,prospection"/>
    <x v="0"/>
    <x v="3"/>
    <n v="1000"/>
    <n v="1.8744037053212446"/>
    <n v="533.50300000000004"/>
    <x v="3"/>
    <s v="P29-S-D1"/>
    <s v="PALF"/>
    <s v="OAT"/>
    <s v="CONGO"/>
    <m/>
    <m/>
    <m/>
  </r>
  <r>
    <d v="2025-09-08T00:00:00"/>
    <s v="Taxi marché-seko,prospection"/>
    <x v="0"/>
    <x v="3"/>
    <n v="1000"/>
    <n v="1.8744037053212446"/>
    <n v="533.50300000000004"/>
    <x v="3"/>
    <s v="P29-S-D1"/>
    <s v="PALF"/>
    <s v="OAT"/>
    <s v="CONGO"/>
    <m/>
    <m/>
    <m/>
  </r>
  <r>
    <d v="2025-09-08T00:00:00"/>
    <s v="Taxi seko-tiabala,prospection"/>
    <x v="0"/>
    <x v="3"/>
    <n v="1000"/>
    <n v="1.8744037053212446"/>
    <n v="533.50300000000004"/>
    <x v="3"/>
    <s v="P29-S-D1"/>
    <s v="PALF"/>
    <s v="OAT"/>
    <s v="CONGO"/>
    <m/>
    <m/>
    <m/>
  </r>
  <r>
    <d v="2025-09-08T00:00:00"/>
    <s v="Taxi tiabala-gare routière"/>
    <x v="0"/>
    <x v="3"/>
    <n v="1000"/>
    <n v="1.8744037053212446"/>
    <n v="533.50300000000004"/>
    <x v="3"/>
    <s v="P29-S-D1"/>
    <s v="PALF"/>
    <s v="OAT"/>
    <s v="CONGO"/>
    <m/>
    <m/>
    <m/>
  </r>
  <r>
    <d v="2025-09-08T00:00:00"/>
    <s v="Credit telephonique MTN PALF/ du 08 au 14 Septembre 2025/ Investigation/P29"/>
    <x v="1"/>
    <x v="3"/>
    <n v="10000"/>
    <n v="18.744037053212445"/>
    <n v="533.50300000000004"/>
    <x v="3"/>
    <s v="P29-S-R5"/>
    <s v="PALF"/>
    <s v="OAT"/>
    <s v="CONGO"/>
    <m/>
    <m/>
    <m/>
  </r>
  <r>
    <d v="2025-09-08T00:00:00"/>
    <s v="Achat billet, Didati-dolisie"/>
    <x v="0"/>
    <x v="3"/>
    <n v="3000"/>
    <n v="5.6232111159637332"/>
    <n v="533.50300000000004"/>
    <x v="3"/>
    <s v="P29-S-R6"/>
    <s v="PALF"/>
    <s v="OAT"/>
    <s v="CONGO"/>
    <m/>
    <m/>
    <m/>
  </r>
  <r>
    <d v="2025-09-08T00:00:00"/>
    <s v="Taxi gare routière-hotel,retour à dolisie"/>
    <x v="0"/>
    <x v="3"/>
    <n v="1500"/>
    <n v="2.8116055579818666"/>
    <n v="533.50300000000004"/>
    <x v="3"/>
    <s v="P29-S-D1"/>
    <s v="PALF"/>
    <s v="OAT"/>
    <s v="CONGO"/>
    <m/>
    <m/>
    <m/>
  </r>
  <r>
    <d v="2025-09-08T00:00:00"/>
    <s v="Achat boison avec un cible"/>
    <x v="11"/>
    <x v="3"/>
    <n v="2000"/>
    <n v="3.7488074106424891"/>
    <n v="533.50300000000004"/>
    <x v="3"/>
    <s v="P29-S-D3"/>
    <s v="PALF"/>
    <s v="OAT"/>
    <s v="CONGO"/>
    <m/>
    <m/>
    <m/>
  </r>
  <r>
    <d v="2025-09-08T00:00:00"/>
    <s v="Taxi : hotel - marché mboukou (prospection à dolisie)"/>
    <x v="0"/>
    <x v="3"/>
    <n v="1000"/>
    <n v="1.8744037053212446"/>
    <n v="533.50300000000004"/>
    <x v="4"/>
    <s v="T73-S-D1"/>
    <s v="PALF"/>
    <s v="OAT"/>
    <s v="CONGO"/>
    <m/>
    <m/>
    <m/>
  </r>
  <r>
    <d v="2025-09-08T00:00:00"/>
    <s v="Taxi : marché mboukou - bas fleury (prospection à dolisie)"/>
    <x v="0"/>
    <x v="3"/>
    <n v="1000"/>
    <n v="1.8744037053212446"/>
    <n v="533.50300000000004"/>
    <x v="4"/>
    <s v="T73-S-D1"/>
    <s v="PALF"/>
    <s v="OAT"/>
    <s v="CONGO"/>
    <m/>
    <m/>
    <m/>
  </r>
  <r>
    <d v="2025-09-08T00:00:00"/>
    <s v="Taxi : bas fleury - RN1(rendez-vous avec la cible)"/>
    <x v="0"/>
    <x v="3"/>
    <n v="1000"/>
    <n v="1.8744037053212446"/>
    <n v="533.50300000000004"/>
    <x v="4"/>
    <s v="T73-S-D1"/>
    <s v="PALF"/>
    <s v="OAT"/>
    <s v="CONGO"/>
    <m/>
    <m/>
    <m/>
  </r>
  <r>
    <d v="2025-09-08T00:00:00"/>
    <s v="Taxi : RN1 - gare routière (extraction)"/>
    <x v="0"/>
    <x v="3"/>
    <n v="1000"/>
    <n v="1.8744037053212446"/>
    <n v="533.50300000000004"/>
    <x v="4"/>
    <s v="T73-S-D1"/>
    <s v="PALF"/>
    <s v="OAT"/>
    <s v="CONGO"/>
    <m/>
    <m/>
    <m/>
  </r>
  <r>
    <d v="2025-09-08T00:00:00"/>
    <s v="Taxi : gare routière - centre ville (extraction)"/>
    <x v="0"/>
    <x v="3"/>
    <n v="1000"/>
    <n v="1.8744037053212446"/>
    <n v="533.50300000000004"/>
    <x v="4"/>
    <s v="T73-S-D1"/>
    <s v="PALF"/>
    <s v="OAT"/>
    <s v="CONGO"/>
    <m/>
    <m/>
    <m/>
  </r>
  <r>
    <d v="2025-09-08T00:00:00"/>
    <s v="Taxi : centre ville- hotel (extraction)"/>
    <x v="0"/>
    <x v="3"/>
    <n v="1000"/>
    <n v="1.8744037053212446"/>
    <n v="533.50300000000004"/>
    <x v="4"/>
    <s v="T73-S-D1"/>
    <s v="PALF"/>
    <s v="OAT"/>
    <s v="CONGO"/>
    <m/>
    <m/>
    <m/>
  </r>
  <r>
    <d v="2025-09-08T00:00:00"/>
    <s v="Credit telephonique MTN PALF/ du 08 au 14 septembre 2025/ Investigation/T73"/>
    <x v="1"/>
    <x v="3"/>
    <n v="10000"/>
    <n v="18.744037053212445"/>
    <n v="533.50300000000004"/>
    <x v="4"/>
    <s v="T73-S-R6"/>
    <s v="PALF"/>
    <s v="OAT"/>
    <s v="CONGO"/>
    <m/>
    <m/>
    <m/>
  </r>
  <r>
    <d v="2025-09-08T00:00:00"/>
    <s v="achat boissons et nourriture/2 cibles"/>
    <x v="11"/>
    <x v="3"/>
    <n v="12000"/>
    <n v="22.492844463854933"/>
    <n v="533.50300000000004"/>
    <x v="4"/>
    <s v="T73-S-D3"/>
    <s v="PALF"/>
    <s v="OAT"/>
    <s v="CONGO"/>
    <m/>
    <m/>
    <m/>
  </r>
  <r>
    <d v="2025-09-08T00:00:00"/>
    <s v="IT87-CONGO Frais d'hôtel  du 04 au 08/09/2025 à Mouyondzi (04 nuitées)"/>
    <x v="2"/>
    <x v="3"/>
    <n v="60000"/>
    <n v="112.46422231927467"/>
    <n v="533.50300000000004"/>
    <x v="5"/>
    <s v="IT87-S-R5"/>
    <s v="PALF"/>
    <s v="OAT"/>
    <s v="CONGO"/>
    <m/>
    <m/>
    <m/>
  </r>
  <r>
    <d v="2025-09-08T00:00:00"/>
    <s v="Taxi tricycle : Hôtel - Gare routière/ Départ pour Bouansa"/>
    <x v="0"/>
    <x v="3"/>
    <n v="700"/>
    <n v="1.3120825937248712"/>
    <n v="533.50300000000004"/>
    <x v="5"/>
    <s v="IT87-S-D1"/>
    <s v="PALF"/>
    <s v="OAT"/>
    <s v="CONGO"/>
    <m/>
    <m/>
    <m/>
  </r>
  <r>
    <d v="2025-09-08T00:00:00"/>
    <s v="Achat billet Mouyondzi - Bouansa/ IT87"/>
    <x v="0"/>
    <x v="3"/>
    <n v="3000"/>
    <n v="5.6232111159637332"/>
    <n v="533.50300000000004"/>
    <x v="5"/>
    <s v="IT87-S-R6"/>
    <s v="PALF"/>
    <s v="OAT"/>
    <s v="CONGO"/>
    <m/>
    <m/>
    <m/>
  </r>
  <r>
    <d v="2025-09-08T00:00:00"/>
    <s v="Taxi moto : Gare routière - Hôtel le Repère/ Arrivé à Bouansa"/>
    <x v="0"/>
    <x v="3"/>
    <n v="500"/>
    <n v="0.93720185266062228"/>
    <n v="533.50300000000004"/>
    <x v="5"/>
    <s v="IT87-S-D1"/>
    <s v="PALF"/>
    <s v="OAT"/>
    <s v="CONGO"/>
    <m/>
    <m/>
    <m/>
  </r>
  <r>
    <d v="2025-09-08T00:00:00"/>
    <s v="Taxi moto : Hôtel - Badondo/ Prospection"/>
    <x v="0"/>
    <x v="3"/>
    <n v="600"/>
    <n v="1.1246422231927466"/>
    <n v="533.50300000000004"/>
    <x v="5"/>
    <s v="IT87-S-D1"/>
    <s v="PALF"/>
    <s v="OAT"/>
    <s v="CONGO"/>
    <m/>
    <m/>
    <m/>
  </r>
  <r>
    <d v="2025-09-08T00:00:00"/>
    <s v="Taxi moto : Badondo - La gare/ Prospection"/>
    <x v="0"/>
    <x v="3"/>
    <n v="500"/>
    <n v="0.93720185266062228"/>
    <n v="533.50300000000004"/>
    <x v="5"/>
    <s v="IT87-S-D1"/>
    <s v="PALF"/>
    <s v="OAT"/>
    <s v="CONGO"/>
    <m/>
    <m/>
    <m/>
  </r>
  <r>
    <d v="2025-09-08T00:00:00"/>
    <s v="Taxi moto : La gare - Hôtel/ Retour du terrain"/>
    <x v="0"/>
    <x v="3"/>
    <n v="500"/>
    <n v="0.93720185266062228"/>
    <n v="533.50300000000004"/>
    <x v="5"/>
    <s v="IT87-S-D1"/>
    <s v="PALF"/>
    <s v="OAT"/>
    <s v="CONGO"/>
    <m/>
    <m/>
    <m/>
  </r>
  <r>
    <d v="2025-09-08T00:00:00"/>
    <s v="Credit telephonique MTN PALF/du 08 au 14 septembre 2025/IT87"/>
    <x v="1"/>
    <x v="3"/>
    <n v="10000"/>
    <n v="18.744037053212445"/>
    <n v="533.50300000000004"/>
    <x v="5"/>
    <s v="IT87-S-R7"/>
    <s v="PALF"/>
    <s v="OAT"/>
    <s v="CONGO"/>
    <m/>
    <m/>
    <m/>
  </r>
  <r>
    <d v="2025-09-08T00:00:00"/>
    <s v="Credit telephonique MTN PALF/du 08 au 14 septembre 2025/G12"/>
    <x v="1"/>
    <x v="3"/>
    <n v="10000"/>
    <n v="18.744037053212445"/>
    <n v="533.50300000000004"/>
    <x v="6"/>
    <s v="G12-S-R2"/>
    <s v="PALF"/>
    <s v="OAT"/>
    <s v="CONGO"/>
    <m/>
    <m/>
    <m/>
  </r>
  <r>
    <d v="2025-09-08T00:00:00"/>
    <s v="Taxi: Bureau-Station Total Energies Loutassi/Achat carburant"/>
    <x v="0"/>
    <x v="1"/>
    <n v="1000"/>
    <n v="1.8744037053212446"/>
    <n v="533.50300000000004"/>
    <x v="7"/>
    <s v="AB-S-D1"/>
    <s v="PALF"/>
    <s v="OAT"/>
    <s v="CONGO"/>
    <m/>
    <m/>
    <m/>
  </r>
  <r>
    <d v="2025-09-08T00:00:00"/>
    <s v="Taxi: Station Total Energies Loutassi-Bureau"/>
    <x v="0"/>
    <x v="1"/>
    <n v="1000"/>
    <n v="1.8744037053212446"/>
    <n v="533.50300000000004"/>
    <x v="7"/>
    <s v="AB-S-D1"/>
    <s v="PALF"/>
    <s v="OAT"/>
    <s v="CONGO"/>
    <m/>
    <m/>
    <m/>
  </r>
  <r>
    <d v="2025-09-08T00:00:00"/>
    <s v="Credit telephonique MTN PALF/ du 08 au 14 septembre 2025/Abraham"/>
    <x v="1"/>
    <x v="1"/>
    <n v="7500"/>
    <n v="14.058027789909334"/>
    <n v="533.50300000000004"/>
    <x v="7"/>
    <s v="AB-S-R2"/>
    <s v="PALF"/>
    <s v="OAT"/>
    <s v="CONGO"/>
    <m/>
    <m/>
    <m/>
  </r>
  <r>
    <d v="2025-09-08T00:00:00"/>
    <s v="Achat carburant groupe electrogène Bureau "/>
    <x v="12"/>
    <x v="2"/>
    <n v="31250"/>
    <n v="58.575115791288894"/>
    <n v="533.50300000000004"/>
    <x v="7"/>
    <s v="CA-S-R8"/>
    <s v="PALF"/>
    <s v="OAT"/>
    <s v="CONGO"/>
    <m/>
    <m/>
    <m/>
  </r>
  <r>
    <d v="2025-09-08T00:00:00"/>
    <s v="Credit telephonique MTN PALF/du 08 au 14 Septembre 2025/Roderlin"/>
    <x v="1"/>
    <x v="1"/>
    <n v="7500"/>
    <n v="14.058027789909334"/>
    <n v="533.50300000000004"/>
    <x v="8"/>
    <s v="RO-S-R6"/>
    <s v="PALF"/>
    <s v="OAT"/>
    <s v="CONGO"/>
    <m/>
    <m/>
    <m/>
  </r>
  <r>
    <d v="2025-09-08T00:00:00"/>
    <s v="Credit telephonique MTN PALF/du 08 au 14 septembre 2025"/>
    <x v="1"/>
    <x v="1"/>
    <n v="10000"/>
    <n v="18.744037053212445"/>
    <n v="533.50300000000004"/>
    <x v="9"/>
    <s v="DR-S-R3"/>
    <s v="PALF"/>
    <s v="OAT"/>
    <s v="CONGO"/>
    <m/>
    <m/>
    <m/>
  </r>
  <r>
    <d v="2025-09-09T00:00:00"/>
    <s v="Taxi moto Hôtel Mithé-Gengarmerie/ Rencontrer le CEMRG"/>
    <x v="4"/>
    <x v="1"/>
    <n v="500"/>
    <n v="0.93720185266062228"/>
    <n v="533.50300000000004"/>
    <x v="9"/>
    <s v="DR-S-D1"/>
    <s v="PALF"/>
    <s v="OAT"/>
    <s v="CONGO"/>
    <m/>
    <m/>
    <m/>
  </r>
  <r>
    <d v="2025-09-08T00:00:00"/>
    <s v="Credit telephonique MTN PALF/du 08 au 14 septembre 2025/ Evariste"/>
    <x v="1"/>
    <x v="4"/>
    <n v="5000"/>
    <n v="9.3720185266062224"/>
    <n v="533.50300000000004"/>
    <x v="10"/>
    <s v="EV-S-R6"/>
    <s v="PALF"/>
    <s v="OAT"/>
    <s v="CONGO"/>
    <m/>
    <m/>
    <m/>
  </r>
  <r>
    <d v="2025-09-08T00:00:00"/>
    <s v="Credit telephonique MTN PALF/du 08 au 14 septembre 2025/ Evariste"/>
    <x v="1"/>
    <x v="4"/>
    <n v="5000"/>
    <n v="9.3720185266062224"/>
    <n v="533.50300000000004"/>
    <x v="10"/>
    <s v="EV-S-R7"/>
    <s v="PALF"/>
    <s v="OAT"/>
    <s v="CONGO"/>
    <m/>
    <m/>
    <m/>
  </r>
  <r>
    <d v="2025-09-08T00:00:00"/>
    <s v="Taxi: Bureau-Charden Farell(Pour le transfert d'argent)"/>
    <x v="0"/>
    <x v="1"/>
    <n v="500"/>
    <n v="0.93720185266062228"/>
    <n v="533.50300000000004"/>
    <x v="11"/>
    <s v="RM-S-D1"/>
    <s v="PALF"/>
    <s v="OAT"/>
    <s v="CONGO"/>
    <m/>
    <m/>
    <m/>
  </r>
  <r>
    <d v="2025-09-08T00:00:00"/>
    <s v="Taxi: Charden Farell-Bureau"/>
    <x v="0"/>
    <x v="1"/>
    <n v="500"/>
    <n v="0.93720185266062228"/>
    <n v="533.50300000000004"/>
    <x v="11"/>
    <s v="RM-S-D1"/>
    <s v="PALF"/>
    <s v="OAT"/>
    <s v="CONGO"/>
    <m/>
    <m/>
    <m/>
  </r>
  <r>
    <d v="2025-09-08T00:00:00"/>
    <s v="Credit telephonique MTN PALF/du 08 au 14 Septembre 2025/Romain"/>
    <x v="1"/>
    <x v="1"/>
    <n v="7500"/>
    <n v="14.058027789909334"/>
    <n v="533.50300000000004"/>
    <x v="11"/>
    <s v="RM-S-R2"/>
    <s v="PALF"/>
    <s v="OAT"/>
    <s v="CONGO"/>
    <m/>
    <m/>
    <m/>
  </r>
  <r>
    <d v="2025-09-08T00:00:00"/>
    <s v="Frais de tansfert d'argent à Crepin"/>
    <x v="3"/>
    <x v="2"/>
    <n v="2000"/>
    <n v="3.7488074106424891"/>
    <n v="533.50300000000004"/>
    <x v="11"/>
    <s v="CA-S-R9"/>
    <s v="PALF"/>
    <s v="OAT"/>
    <s v="CONGO"/>
    <m/>
    <m/>
    <m/>
  </r>
  <r>
    <d v="2025-09-09T00:00:00"/>
    <s v="Maison-Bureau"/>
    <x v="0"/>
    <x v="0"/>
    <n v="1000"/>
    <n v="1.8744037053212446"/>
    <n v="533.50300000000004"/>
    <x v="0"/>
    <s v="DH-S-D1"/>
    <s v="PALF"/>
    <s v="OAT"/>
    <s v="CONGO"/>
    <m/>
    <m/>
    <m/>
  </r>
  <r>
    <d v="2025-09-09T00:00:00"/>
    <s v="Bureau-Ambassade de France"/>
    <x v="0"/>
    <x v="0"/>
    <n v="1000"/>
    <n v="1.8744037053212446"/>
    <n v="533.50300000000004"/>
    <x v="0"/>
    <s v="DH-S-D1"/>
    <s v="PALF"/>
    <s v="OAT"/>
    <s v="CONGO"/>
    <m/>
    <m/>
    <m/>
  </r>
  <r>
    <d v="2025-09-09T00:00:00"/>
    <s v="Ambassade de France - PNUD"/>
    <x v="0"/>
    <x v="0"/>
    <n v="1000"/>
    <n v="1.8744037053212446"/>
    <n v="533.50300000000004"/>
    <x v="0"/>
    <s v="DH-S-D1"/>
    <s v="PALF"/>
    <s v="OAT"/>
    <s v="CONGO"/>
    <m/>
    <m/>
    <m/>
  </r>
  <r>
    <d v="2025-09-09T00:00:00"/>
    <s v="PNUD -Bureau"/>
    <x v="0"/>
    <x v="0"/>
    <n v="1000"/>
    <n v="1.8744037053212446"/>
    <n v="533.50300000000004"/>
    <x v="0"/>
    <s v="DH-S-D1"/>
    <s v="PALF"/>
    <s v="OAT"/>
    <s v="CONGO"/>
    <m/>
    <m/>
    <m/>
  </r>
  <r>
    <d v="2025-09-09T00:00:00"/>
    <s v="Bureau-Maison"/>
    <x v="0"/>
    <x v="0"/>
    <n v="1000"/>
    <n v="1.8744037053212446"/>
    <n v="533.50300000000004"/>
    <x v="0"/>
    <s v="DH-S-D1"/>
    <s v="PALF"/>
    <s v="OAT"/>
    <s v="CONGO"/>
    <m/>
    <m/>
    <m/>
  </r>
  <r>
    <d v="2025-09-09T00:00:00"/>
    <s v="Taxi moto: Hôtel-Gendamerie"/>
    <x v="0"/>
    <x v="1"/>
    <n v="500"/>
    <n v="0.93720185266062228"/>
    <n v="533.50300000000004"/>
    <x v="1"/>
    <s v="CR-S-D1"/>
    <s v="PALF"/>
    <s v="OAT"/>
    <s v="CONGO"/>
    <m/>
    <m/>
    <m/>
  </r>
  <r>
    <d v="2025-09-09T00:00:00"/>
    <s v="Taxi moto: Gendarmerie-Hôtel"/>
    <x v="0"/>
    <x v="1"/>
    <n v="500"/>
    <n v="0.93720185266062228"/>
    <n v="533.50300000000004"/>
    <x v="1"/>
    <s v="CR-S-D1"/>
    <s v="PALF"/>
    <s v="OAT"/>
    <s v="CONGO"/>
    <m/>
    <m/>
    <m/>
  </r>
  <r>
    <d v="2025-09-09T00:00:00"/>
    <s v="Taxi:  Bureau-Banque BCI/ Recuperation le reçu  Appro caisse du 08/09/2025PALF"/>
    <x v="0"/>
    <x v="2"/>
    <n v="1000"/>
    <n v="1.8744037053212446"/>
    <n v="533.50300000000004"/>
    <x v="2"/>
    <s v="P-S-D1"/>
    <s v="PALF"/>
    <s v="OAT"/>
    <s v="CONGO"/>
    <m/>
    <m/>
    <m/>
  </r>
  <r>
    <d v="2025-09-09T00:00:00"/>
    <s v="Taxi:  Banque BCI - Bureau"/>
    <x v="0"/>
    <x v="2"/>
    <n v="1000"/>
    <n v="1.8744037053212446"/>
    <n v="533.50300000000004"/>
    <x v="2"/>
    <s v="P-S-D1"/>
    <s v="PALF"/>
    <s v="OAT"/>
    <s v="CONGO"/>
    <m/>
    <m/>
    <m/>
  </r>
  <r>
    <d v="2025-09-09T00:00:00"/>
    <s v="Achat billet dolisie-Mila mila"/>
    <x v="0"/>
    <x v="3"/>
    <n v="5000"/>
    <n v="9.3720185266062224"/>
    <n v="533.50300000000004"/>
    <x v="3"/>
    <s v="P29-S-R7"/>
    <s v="PALF"/>
    <s v="OAT"/>
    <s v="CONGO"/>
    <m/>
    <m/>
    <m/>
  </r>
  <r>
    <d v="2025-09-09T00:00:00"/>
    <s v="Achat billet Mila mila-dolisie"/>
    <x v="0"/>
    <x v="3"/>
    <n v="5000"/>
    <n v="9.3720185266062224"/>
    <n v="533.50300000000004"/>
    <x v="3"/>
    <s v="P29-S-R8"/>
    <s v="PALF"/>
    <s v="OAT"/>
    <s v="CONGO"/>
    <m/>
    <m/>
    <m/>
  </r>
  <r>
    <d v="2025-09-09T00:00:00"/>
    <s v="Taxi hotel-gare routière,départ pour mila mila"/>
    <x v="0"/>
    <x v="3"/>
    <n v="1500"/>
    <n v="2.8116055579818666"/>
    <n v="533.50300000000004"/>
    <x v="3"/>
    <s v="P29-S-D1"/>
    <s v="PALF"/>
    <s v="OAT"/>
    <s v="CONGO"/>
    <m/>
    <m/>
    <m/>
  </r>
  <r>
    <d v="2025-09-09T00:00:00"/>
    <s v="Taxi moto gare routière-marché,prospection"/>
    <x v="0"/>
    <x v="3"/>
    <n v="500"/>
    <n v="0.93720185266062228"/>
    <n v="533.50300000000004"/>
    <x v="3"/>
    <s v="P29-S-D1"/>
    <s v="PALF"/>
    <s v="OAT"/>
    <s v="CONGO"/>
    <m/>
    <m/>
    <m/>
  </r>
  <r>
    <d v="2025-09-09T00:00:00"/>
    <s v="Taxi tricycle marché-tiolo,prospection"/>
    <x v="0"/>
    <x v="3"/>
    <n v="700"/>
    <n v="1.3120825937248712"/>
    <n v="533.50300000000004"/>
    <x v="3"/>
    <s v="P29-S-D1"/>
    <s v="PALF"/>
    <s v="OAT"/>
    <s v="CONGO"/>
    <m/>
    <m/>
    <m/>
  </r>
  <r>
    <d v="2025-09-09T00:00:00"/>
    <s v="Taxi tricycle tiolo-diatabazagombe,prospection"/>
    <x v="0"/>
    <x v="3"/>
    <n v="700"/>
    <n v="1.3120825937248712"/>
    <n v="533.50300000000004"/>
    <x v="3"/>
    <s v="P29-S-D1"/>
    <s v="PALF"/>
    <s v="OAT"/>
    <s v="CONGO"/>
    <m/>
    <m/>
    <m/>
  </r>
  <r>
    <d v="2025-09-09T00:00:00"/>
    <s v="Taxi tricycle diatazabagombe-école,prospection"/>
    <x v="0"/>
    <x v="3"/>
    <n v="700"/>
    <n v="1.3120825937248712"/>
    <n v="533.50300000000004"/>
    <x v="3"/>
    <s v="P29-S-D1"/>
    <s v="PALF"/>
    <s v="OAT"/>
    <s v="CONGO"/>
    <m/>
    <m/>
    <m/>
  </r>
  <r>
    <d v="2025-09-09T00:00:00"/>
    <s v="Taxi moto ecole-gare routière"/>
    <x v="0"/>
    <x v="3"/>
    <n v="500"/>
    <n v="0.93720185266062228"/>
    <n v="533.50300000000004"/>
    <x v="3"/>
    <s v="P29-S-D1"/>
    <s v="PALF"/>
    <s v="OAT"/>
    <s v="CONGO"/>
    <m/>
    <m/>
    <m/>
  </r>
  <r>
    <d v="2025-09-09T00:00:00"/>
    <s v="Taxi gare routière-dolisie,retour à dolisie"/>
    <x v="0"/>
    <x v="3"/>
    <n v="1500"/>
    <n v="2.8116055579818666"/>
    <n v="533.50300000000004"/>
    <x v="3"/>
    <s v="P29-S-D1"/>
    <s v="PALF"/>
    <s v="OAT"/>
    <s v="CONGO"/>
    <m/>
    <m/>
    <m/>
  </r>
  <r>
    <d v="2025-09-09T00:00:00"/>
    <s v="Achat boison avec un cible"/>
    <x v="11"/>
    <x v="3"/>
    <n v="2000"/>
    <n v="3.7488074106424891"/>
    <n v="533.50300000000004"/>
    <x v="3"/>
    <s v="P29-S-D3"/>
    <s v="PALF"/>
    <s v="OAT"/>
    <s v="CONGO"/>
    <m/>
    <m/>
    <m/>
  </r>
  <r>
    <d v="2025-09-09T00:00:00"/>
    <s v="Taxi : hotel - lissanga (prospection à dolisie)"/>
    <x v="0"/>
    <x v="3"/>
    <n v="1000"/>
    <n v="1.8744037053212446"/>
    <n v="533.50300000000004"/>
    <x v="4"/>
    <s v="T73-S-D1"/>
    <s v="PALF"/>
    <s v="OAT"/>
    <s v="CONGO"/>
    <m/>
    <m/>
    <m/>
  </r>
  <r>
    <d v="2025-09-09T00:00:00"/>
    <s v="Taxi : hotel - lissanga (prospection à dolisie)"/>
    <x v="0"/>
    <x v="3"/>
    <n v="1000"/>
    <n v="1.8744037053212446"/>
    <n v="533.50300000000004"/>
    <x v="4"/>
    <s v="T73-S-D1"/>
    <s v="PALF"/>
    <s v="OAT"/>
    <s v="CONGO"/>
    <m/>
    <m/>
    <m/>
  </r>
  <r>
    <d v="2025-09-09T00:00:00"/>
    <s v="Taxi : lissanga - bacongo (prospection à dolisie)"/>
    <x v="0"/>
    <x v="3"/>
    <n v="1000"/>
    <n v="1.8744037053212446"/>
    <n v="533.50300000000004"/>
    <x v="4"/>
    <s v="T73-S-D1"/>
    <s v="PALF"/>
    <s v="OAT"/>
    <s v="CONGO"/>
    <m/>
    <m/>
    <m/>
  </r>
  <r>
    <d v="2025-09-09T00:00:00"/>
    <s v="Taxi : bacongo - marché (prospection à dolisie)"/>
    <x v="0"/>
    <x v="3"/>
    <n v="1000"/>
    <n v="1.8744037053212446"/>
    <n v="533.50300000000004"/>
    <x v="4"/>
    <s v="T73-S-D1"/>
    <s v="PALF"/>
    <s v="OAT"/>
    <s v="CONGO"/>
    <m/>
    <m/>
    <m/>
  </r>
  <r>
    <d v="2025-09-09T00:00:00"/>
    <s v="Taxi : marché - hotel (prospection à dolisie)"/>
    <x v="0"/>
    <x v="3"/>
    <n v="1000"/>
    <n v="1.8744037053212446"/>
    <n v="533.50300000000004"/>
    <x v="4"/>
    <s v="T73-S-D1"/>
    <s v="PALF"/>
    <s v="OAT"/>
    <s v="CONGO"/>
    <m/>
    <m/>
    <m/>
  </r>
  <r>
    <d v="2025-09-09T00:00:00"/>
    <s v="achat boison (une cible)"/>
    <x v="11"/>
    <x v="3"/>
    <n v="1500"/>
    <n v="2.8116055579818666"/>
    <n v="533.50300000000004"/>
    <x v="4"/>
    <s v="T73-S-D3"/>
    <s v="PALF"/>
    <s v="OAT"/>
    <s v="CONGO"/>
    <m/>
    <m/>
    <m/>
  </r>
  <r>
    <d v="2025-09-09T00:00:00"/>
    <s v="Taxi moto : Hôtel - Marché/ Prospection"/>
    <x v="0"/>
    <x v="3"/>
    <n v="600"/>
    <n v="1.1246422231927466"/>
    <n v="533.50300000000004"/>
    <x v="5"/>
    <s v="IT87-S-D1"/>
    <s v="PALF"/>
    <s v="OAT"/>
    <s v="CONGO"/>
    <m/>
    <m/>
    <m/>
  </r>
  <r>
    <d v="2025-09-09T00:00:00"/>
    <s v="Taxi moto : Marché - Mouila/ Prospection"/>
    <x v="0"/>
    <x v="3"/>
    <n v="500"/>
    <n v="0.93720185266062228"/>
    <n v="533.50300000000004"/>
    <x v="5"/>
    <s v="IT87-S-D1"/>
    <s v="PALF"/>
    <s v="OAT"/>
    <s v="CONGO"/>
    <m/>
    <m/>
    <m/>
  </r>
  <r>
    <d v="2025-09-09T00:00:00"/>
    <s v="Taxi moto : Mouila - Terrain gazonné/ Prospection"/>
    <x v="0"/>
    <x v="3"/>
    <n v="500"/>
    <n v="0.93720185266062228"/>
    <n v="533.50300000000004"/>
    <x v="5"/>
    <s v="IT87-S-D1"/>
    <s v="PALF"/>
    <s v="OAT"/>
    <s v="CONGO"/>
    <m/>
    <m/>
    <m/>
  </r>
  <r>
    <d v="2025-09-09T00:00:00"/>
    <s v="Taxi moto : Terrain gazonné - Agence trans bony/ Achat billet"/>
    <x v="0"/>
    <x v="3"/>
    <n v="600"/>
    <n v="1.1246422231927466"/>
    <n v="533.50300000000004"/>
    <x v="5"/>
    <s v="IT87-S-D1"/>
    <s v="PALF"/>
    <s v="OAT"/>
    <s v="CONGO"/>
    <m/>
    <m/>
    <m/>
  </r>
  <r>
    <d v="2025-09-09T00:00:00"/>
    <s v="Taxi moto : Agence trans bony - Hôtel/ Retour de prospection"/>
    <x v="0"/>
    <x v="3"/>
    <n v="500"/>
    <n v="0.93720185266062228"/>
    <n v="533.50300000000004"/>
    <x v="5"/>
    <s v="IT87-S-D1"/>
    <s v="PALF"/>
    <s v="OAT"/>
    <s v="CONGO"/>
    <m/>
    <m/>
    <m/>
  </r>
  <r>
    <d v="2025-09-09T00:00:00"/>
    <s v="Taxi: Domicile-la frontière/prospection"/>
    <x v="0"/>
    <x v="3"/>
    <n v="1000"/>
    <n v="1.8744037053212446"/>
    <n v="533.50300000000004"/>
    <x v="6"/>
    <s v="G12-S-D1"/>
    <s v="PALF"/>
    <s v="OAT"/>
    <s v="CONGO"/>
    <m/>
    <m/>
    <m/>
  </r>
  <r>
    <d v="2025-09-09T00:00:00"/>
    <s v="Taxi: Frontière- Campus/ prospection"/>
    <x v="0"/>
    <x v="3"/>
    <n v="1000"/>
    <n v="1.8744037053212446"/>
    <n v="533.50300000000004"/>
    <x v="6"/>
    <s v="G12-S-D1"/>
    <s v="PALF"/>
    <s v="OAT"/>
    <s v="CONGO"/>
    <m/>
    <m/>
    <m/>
  </r>
  <r>
    <d v="2025-09-09T00:00:00"/>
    <s v="Taxi:  Campus -Domicile"/>
    <x v="0"/>
    <x v="3"/>
    <n v="1000"/>
    <n v="1.8744037053212446"/>
    <n v="533.50300000000004"/>
    <x v="6"/>
    <s v="G12-S-D1"/>
    <s v="PALF"/>
    <s v="OAT"/>
    <s v="CONGO"/>
    <m/>
    <m/>
    <m/>
  </r>
  <r>
    <d v="2025-09-09T00:00:00"/>
    <s v="Taxi moto Gendarmerie-Charden farell/ Retrait de fonds"/>
    <x v="4"/>
    <x v="1"/>
    <n v="500"/>
    <n v="0.93720185266062228"/>
    <n v="533.50300000000004"/>
    <x v="9"/>
    <s v="DR-S-D1"/>
    <s v="PALF"/>
    <s v="OAT"/>
    <s v="CONGO"/>
    <m/>
    <m/>
    <m/>
  </r>
  <r>
    <d v="2025-09-09T00:00:00"/>
    <s v="Taxi moto Charden farell-Hôtel Mithé"/>
    <x v="4"/>
    <x v="1"/>
    <n v="500"/>
    <n v="0.93720185266062228"/>
    <n v="533.50300000000004"/>
    <x v="9"/>
    <s v="DR-S-D1"/>
    <s v="PALF"/>
    <s v="OAT"/>
    <s v="CONGO"/>
    <m/>
    <m/>
    <m/>
  </r>
  <r>
    <d v="2025-09-11T00:00:00"/>
    <s v="Taxi moto Hôtel Mithé-Charden farell/ Retrait de fonds"/>
    <x v="4"/>
    <x v="1"/>
    <n v="500"/>
    <n v="0.93720185266062228"/>
    <n v="533.50300000000004"/>
    <x v="9"/>
    <s v="DR-S-D1"/>
    <s v="PALF"/>
    <s v="OAT"/>
    <s v="CONGO"/>
    <m/>
    <m/>
    <m/>
  </r>
  <r>
    <d v="2025-09-09T00:00:00"/>
    <s v="Bonus opération du 25/08/2025 à Impfondo/Evariste"/>
    <x v="13"/>
    <x v="5"/>
    <n v="30000"/>
    <n v="56.232111159637334"/>
    <n v="533.50300000000004"/>
    <x v="10"/>
    <s v="CA-S-D4"/>
    <s v="PALF"/>
    <s v="OAT"/>
    <s v="CONGO"/>
    <m/>
    <m/>
    <m/>
  </r>
  <r>
    <d v="2025-09-10T00:00:00"/>
    <s v="Maison -Bureau"/>
    <x v="0"/>
    <x v="0"/>
    <n v="1000"/>
    <n v="1.8744037053212446"/>
    <n v="533.50300000000004"/>
    <x v="0"/>
    <s v="DH-S-D1"/>
    <s v="PALF"/>
    <s v="OAT"/>
    <s v="CONGO"/>
    <m/>
    <m/>
    <m/>
  </r>
  <r>
    <d v="2025-09-10T00:00:00"/>
    <s v="Bureau -maison"/>
    <x v="0"/>
    <x v="0"/>
    <n v="1000"/>
    <n v="1.8744037053212446"/>
    <n v="533.50300000000004"/>
    <x v="0"/>
    <s v="DH-S-D1"/>
    <s v="PALF"/>
    <s v="OAT"/>
    <s v="CONGO"/>
    <m/>
    <m/>
    <m/>
  </r>
  <r>
    <d v="2025-09-10T00:00:00"/>
    <s v="Taxi:  Bureau-Banque BCI/Accusé reception de la lettre de justificatif de fond PALF"/>
    <x v="0"/>
    <x v="2"/>
    <n v="1000"/>
    <n v="1.8744037053212446"/>
    <n v="533.50300000000004"/>
    <x v="2"/>
    <s v="P-S-D1"/>
    <s v="PALF"/>
    <s v="OAT"/>
    <s v="CONGO"/>
    <m/>
    <m/>
    <m/>
  </r>
  <r>
    <d v="2025-09-10T00:00:00"/>
    <s v="Taxi:  Banque BCI - Bureau"/>
    <x v="0"/>
    <x v="2"/>
    <n v="1000"/>
    <n v="1.8744037053212446"/>
    <n v="533.50300000000004"/>
    <x v="2"/>
    <s v="P-S-D1"/>
    <s v="PALF"/>
    <s v="OAT"/>
    <s v="CONGO"/>
    <m/>
    <m/>
    <m/>
  </r>
  <r>
    <d v="2025-09-10T00:00:00"/>
    <s v="Taxi hotel-mombi,prospection"/>
    <x v="0"/>
    <x v="3"/>
    <n v="1000"/>
    <n v="1.8744037053212446"/>
    <n v="533.50300000000004"/>
    <x v="3"/>
    <s v="P29-S-D1"/>
    <s v="PALF"/>
    <s v="OAT"/>
    <s v="CONGO"/>
    <m/>
    <m/>
    <m/>
  </r>
  <r>
    <d v="2025-09-10T00:00:00"/>
    <s v="Taxi mombi-capable,prospection"/>
    <x v="0"/>
    <x v="3"/>
    <n v="1000"/>
    <n v="1.8744037053212446"/>
    <n v="533.50300000000004"/>
    <x v="3"/>
    <s v="P29-S-D1"/>
    <s v="PALF"/>
    <s v="OAT"/>
    <s v="CONGO"/>
    <m/>
    <m/>
    <m/>
  </r>
  <r>
    <d v="2025-09-10T00:00:00"/>
    <s v="Taxi capable-CF,retrait des fond"/>
    <x v="0"/>
    <x v="3"/>
    <n v="1000"/>
    <n v="1.8744037053212446"/>
    <n v="533.50300000000004"/>
    <x v="3"/>
    <s v="P29-S-D1"/>
    <s v="PALF"/>
    <s v="OAT"/>
    <s v="CONGO"/>
    <m/>
    <m/>
    <m/>
  </r>
  <r>
    <d v="2025-09-10T00:00:00"/>
    <s v="Taxi CF-tsila,prospection"/>
    <x v="0"/>
    <x v="3"/>
    <n v="1000"/>
    <n v="1.8744037053212446"/>
    <n v="533.50300000000004"/>
    <x v="3"/>
    <s v="P29-S-D1"/>
    <s v="PALF"/>
    <s v="OAT"/>
    <s v="CONGO"/>
    <m/>
    <m/>
    <m/>
  </r>
  <r>
    <d v="2025-09-10T00:00:00"/>
    <s v="Taxi tsila-hotel"/>
    <x v="0"/>
    <x v="3"/>
    <n v="1000"/>
    <n v="1.8744037053212446"/>
    <n v="533.50300000000004"/>
    <x v="3"/>
    <s v="P29-S-D1"/>
    <s v="PALF"/>
    <s v="OAT"/>
    <s v="CONGO"/>
    <m/>
    <m/>
    <m/>
  </r>
  <r>
    <d v="2025-09-10T00:00:00"/>
    <s v="Achat boisson"/>
    <x v="0"/>
    <x v="3"/>
    <n v="2000"/>
    <n v="3.7488074106424891"/>
    <n v="533.50300000000004"/>
    <x v="3"/>
    <s v="P29-S-D1"/>
    <s v="PALF"/>
    <s v="OAT"/>
    <s v="CONGO"/>
    <m/>
    <m/>
    <m/>
  </r>
  <r>
    <d v="2025-09-10T00:00:00"/>
    <s v="Taxi : hotel - gare routière (prospection à dolisie)"/>
    <x v="0"/>
    <x v="3"/>
    <n v="1000"/>
    <n v="1.8744037053212446"/>
    <n v="533.50300000000004"/>
    <x v="4"/>
    <s v="T73-S-D1"/>
    <s v="PALF"/>
    <s v="OAT"/>
    <s v="CONGO"/>
    <m/>
    <m/>
    <m/>
  </r>
  <r>
    <d v="2025-09-10T00:00:00"/>
    <s v="Taxi : gare routière - zone aeroport (prospection à dolisie)"/>
    <x v="0"/>
    <x v="3"/>
    <n v="1000"/>
    <n v="1.8744037053212446"/>
    <n v="533.50300000000004"/>
    <x v="4"/>
    <s v="T73-S-D1"/>
    <s v="PALF"/>
    <s v="OAT"/>
    <s v="CONGO"/>
    <m/>
    <m/>
    <m/>
  </r>
  <r>
    <d v="2025-09-10T00:00:00"/>
    <s v="Taxi : zone aeroport - gaya (prospection à dolisie)"/>
    <x v="0"/>
    <x v="3"/>
    <n v="1000"/>
    <n v="1.8744037053212446"/>
    <n v="533.50300000000004"/>
    <x v="4"/>
    <s v="T73-S-D1"/>
    <s v="PALF"/>
    <s v="OAT"/>
    <s v="CONGO"/>
    <m/>
    <m/>
    <m/>
  </r>
  <r>
    <d v="2025-09-10T00:00:00"/>
    <s v="Taxi : gaya - charden farel (prospection à dolisie)"/>
    <x v="0"/>
    <x v="3"/>
    <n v="1000"/>
    <n v="1.8744037053212446"/>
    <n v="533.50300000000004"/>
    <x v="4"/>
    <s v="T73-S-D1"/>
    <s v="PALF"/>
    <s v="OAT"/>
    <s v="CONGO"/>
    <m/>
    <m/>
    <m/>
  </r>
  <r>
    <d v="2025-09-10T00:00:00"/>
    <s v="Taxi : charden farel - hotel (fin de journée)"/>
    <x v="0"/>
    <x v="3"/>
    <n v="1000"/>
    <n v="1.8744037053212446"/>
    <n v="533.50300000000004"/>
    <x v="4"/>
    <s v="T73-S-D1"/>
    <s v="PALF"/>
    <s v="OAT"/>
    <s v="CONGO"/>
    <m/>
    <m/>
    <m/>
  </r>
  <r>
    <d v="2025-09-10T00:00:00"/>
    <s v="Taxi : gaya - hotel (prospection à dolisie)"/>
    <x v="0"/>
    <x v="3"/>
    <n v="1000"/>
    <n v="1.8744037053212446"/>
    <n v="533.50300000000004"/>
    <x v="4"/>
    <s v="T73-S-D1"/>
    <s v="PALF"/>
    <s v="OAT"/>
    <s v="CONGO"/>
    <m/>
    <m/>
    <m/>
  </r>
  <r>
    <d v="2025-09-10T00:00:00"/>
    <s v="achat boisson a une cibles"/>
    <x v="11"/>
    <x v="3"/>
    <n v="2000"/>
    <n v="3.7488074106424891"/>
    <n v="533.50300000000004"/>
    <x v="4"/>
    <s v="T73-S-D3"/>
    <s v="PALF"/>
    <s v="OAT"/>
    <s v="CONGO"/>
    <m/>
    <m/>
    <m/>
  </r>
  <r>
    <d v="2025-09-10T00:00:00"/>
    <s v="IT87-CONGO Frais d'hôtel  du 08 au 10/09/2024 à Bouansa (02 nuitées)"/>
    <x v="2"/>
    <x v="3"/>
    <n v="30000"/>
    <n v="56.232111159637334"/>
    <n v="533.50300000000004"/>
    <x v="5"/>
    <s v="IT87-S-R8"/>
    <s v="PALF"/>
    <s v="OAT"/>
    <s v="CONGO"/>
    <m/>
    <m/>
    <m/>
  </r>
  <r>
    <d v="2025-09-10T00:00:00"/>
    <s v="Taxi moto : Hôtel - Agence Trans Bony/ Départ de Bouansa pour Brazzaville"/>
    <x v="0"/>
    <x v="3"/>
    <n v="500"/>
    <n v="0.93720185266062228"/>
    <n v="533.50300000000004"/>
    <x v="5"/>
    <s v="IT87-S-D1"/>
    <s v="PALF"/>
    <s v="OAT"/>
    <s v="CONGO"/>
    <m/>
    <m/>
    <m/>
  </r>
  <r>
    <d v="2025-09-10T00:00:00"/>
    <s v="Achat billet Bouansa - Brazzaville/ IT87"/>
    <x v="0"/>
    <x v="3"/>
    <n v="7000"/>
    <n v="13.120825937248712"/>
    <n v="533.50300000000004"/>
    <x v="5"/>
    <s v="IT87-S-R9"/>
    <s v="PALF"/>
    <s v="OAT"/>
    <s v="CONGO"/>
    <m/>
    <m/>
    <m/>
  </r>
  <r>
    <d v="2025-09-10T00:00:00"/>
    <s v="Taxi : Agence Trans bony - Domicile/ Arrivée à Brazzaville"/>
    <x v="0"/>
    <x v="3"/>
    <n v="2500"/>
    <n v="4.6860092633031112"/>
    <n v="533.50300000000004"/>
    <x v="5"/>
    <s v="IT87-S-D1"/>
    <s v="PALF"/>
    <s v="OAT"/>
    <s v="CONGO"/>
    <m/>
    <m/>
    <m/>
  </r>
  <r>
    <d v="2025-09-10T00:00:00"/>
    <s v="Taxi:  Domicile- Maison blanche / prospection"/>
    <x v="0"/>
    <x v="3"/>
    <n v="1000"/>
    <n v="1.8744037053212446"/>
    <n v="533.50300000000004"/>
    <x v="6"/>
    <s v="G12-S-D1"/>
    <s v="PALF"/>
    <s v="OAT"/>
    <s v="CONGO"/>
    <m/>
    <m/>
    <m/>
  </r>
  <r>
    <d v="2025-09-10T00:00:00"/>
    <s v="Taxi:   Maison blanche - Mfilou/ prospection"/>
    <x v="0"/>
    <x v="3"/>
    <n v="1000"/>
    <n v="1.8744037053212446"/>
    <n v="533.50300000000004"/>
    <x v="6"/>
    <s v="G12-S-D1"/>
    <s v="PALF"/>
    <s v="OAT"/>
    <s v="CONGO"/>
    <m/>
    <m/>
    <m/>
  </r>
  <r>
    <d v="2025-09-10T00:00:00"/>
    <s v="Taxi: Mfilou - domicile"/>
    <x v="0"/>
    <x v="3"/>
    <n v="1000"/>
    <n v="1.8744037053212446"/>
    <n v="533.50300000000004"/>
    <x v="6"/>
    <s v="G12-S-D1"/>
    <s v="PALF"/>
    <s v="OAT"/>
    <s v="CONGO"/>
    <m/>
    <m/>
    <m/>
  </r>
  <r>
    <d v="2025-09-10T00:00:00"/>
    <s v="Taxi:Bureau-Cabinet BANZOUZI pour la vérification de la disponibilité du rapport de mission"/>
    <x v="0"/>
    <x v="1"/>
    <n v="1000"/>
    <n v="1.8744037053212446"/>
    <n v="533.50300000000004"/>
    <x v="8"/>
    <s v="RO-S-D1"/>
    <s v="PALF"/>
    <s v="OAT"/>
    <s v="CONGO"/>
    <m/>
    <m/>
    <m/>
  </r>
  <r>
    <d v="2025-09-10T00:00:00"/>
    <s v="Taxi:Cabinet BANZOUZI-Bureau"/>
    <x v="0"/>
    <x v="1"/>
    <n v="1000"/>
    <n v="1.8744037053212446"/>
    <n v="533.50300000000004"/>
    <x v="8"/>
    <s v="RO-S-D1"/>
    <s v="PALF"/>
    <s v="OAT"/>
    <s v="CONGO"/>
    <m/>
    <m/>
    <m/>
  </r>
  <r>
    <d v="2025-09-10T00:00:00"/>
    <s v="Taxi: Bureau-Charden Farell"/>
    <x v="0"/>
    <x v="1"/>
    <n v="500"/>
    <n v="0.93720185266062228"/>
    <n v="533.50300000000004"/>
    <x v="11"/>
    <s v="RM-S-D1"/>
    <s v="PALF"/>
    <s v="OAT"/>
    <s v="CONGO"/>
    <m/>
    <m/>
    <m/>
  </r>
  <r>
    <d v="2025-09-10T00:00:00"/>
    <s v="Taxi: Charden Farell-Bureau"/>
    <x v="0"/>
    <x v="1"/>
    <n v="500"/>
    <n v="0.93720185266062228"/>
    <n v="533.50300000000004"/>
    <x v="11"/>
    <s v="RM-S-D1"/>
    <s v="PALF"/>
    <s v="OAT"/>
    <s v="CONGO"/>
    <m/>
    <m/>
    <m/>
  </r>
  <r>
    <d v="2025-09-10T00:00:00"/>
    <s v="Taxi: Bureau-Direction Générale de l'Economie Forestière"/>
    <x v="0"/>
    <x v="1"/>
    <n v="1000"/>
    <n v="1.8744037053212446"/>
    <n v="533.50300000000004"/>
    <x v="11"/>
    <s v="RM-S-D1"/>
    <s v="PALF"/>
    <s v="OAT"/>
    <s v="CONGO"/>
    <m/>
    <m/>
    <m/>
  </r>
  <r>
    <d v="2025-09-10T00:00:00"/>
    <s v="Taxi: Direction Générale de l'Economie Forestière-Bureau"/>
    <x v="0"/>
    <x v="1"/>
    <n v="1000"/>
    <n v="1.8744037053212446"/>
    <n v="533.50300000000004"/>
    <x v="11"/>
    <s v="RM-S-D1"/>
    <s v="PALF"/>
    <s v="OAT"/>
    <s v="CONGO"/>
    <m/>
    <m/>
    <m/>
  </r>
  <r>
    <d v="2025-09-10T00:00:00"/>
    <s v="Taxi: Bureau-Charden Farrell(pour le transfert des fonds)"/>
    <x v="0"/>
    <x v="1"/>
    <n v="500"/>
    <n v="0.93720185266062228"/>
    <n v="533.50300000000004"/>
    <x v="11"/>
    <s v="RM-S-D1"/>
    <s v="PALF"/>
    <s v="OAT"/>
    <s v="CONGO"/>
    <m/>
    <m/>
    <m/>
  </r>
  <r>
    <d v="2025-09-10T00:00:00"/>
    <s v="Taxi: Charden Farell-Bureau"/>
    <x v="0"/>
    <x v="1"/>
    <n v="500"/>
    <n v="0.93720185266062228"/>
    <n v="533.50300000000004"/>
    <x v="11"/>
    <s v="RM-S-D1"/>
    <s v="PALF"/>
    <s v="OAT"/>
    <s v="CONGO"/>
    <m/>
    <m/>
    <m/>
  </r>
  <r>
    <d v="2025-09-10T00:00:00"/>
    <s v="Frais de tansfert d'argent à Crepin, Donald-Roméo, P29"/>
    <x v="3"/>
    <x v="2"/>
    <n v="7860"/>
    <n v="14.732813123824982"/>
    <n v="533.50300000000004"/>
    <x v="11"/>
    <s v="CA-S-R10"/>
    <s v="PALF"/>
    <s v="OAT"/>
    <s v="CONGO"/>
    <m/>
    <m/>
    <m/>
  </r>
  <r>
    <d v="2025-09-11T00:00:00"/>
    <s v="Maison-Bureau"/>
    <x v="0"/>
    <x v="0"/>
    <n v="1000"/>
    <n v="1.8744037053212446"/>
    <n v="533.50300000000004"/>
    <x v="0"/>
    <s v="DH-S-D1"/>
    <s v="PALF"/>
    <s v="OAT"/>
    <s v="CONGO"/>
    <m/>
    <m/>
    <m/>
  </r>
  <r>
    <d v="2025-09-11T00:00:00"/>
    <s v="Bureau -Maison"/>
    <x v="0"/>
    <x v="0"/>
    <n v="1000"/>
    <n v="1.8744037053212446"/>
    <n v="533.50300000000004"/>
    <x v="0"/>
    <s v="DH-S-D1"/>
    <s v="PALF"/>
    <s v="OAT"/>
    <s v="CONGO"/>
    <m/>
    <m/>
    <m/>
  </r>
  <r>
    <d v="2025-09-11T00:00:00"/>
    <s v="Taxi moto: Hôtel-Agence Océan pour les formalités"/>
    <x v="0"/>
    <x v="1"/>
    <n v="500"/>
    <n v="0.93720185266062228"/>
    <n v="533.50300000000004"/>
    <x v="1"/>
    <s v="CR-S-D1"/>
    <s v="PALF"/>
    <s v="OAT"/>
    <s v="CONGO"/>
    <m/>
    <m/>
    <m/>
  </r>
  <r>
    <d v="2025-09-11T00:00:00"/>
    <s v="Taxi moto: Agence Océan-Hôtel"/>
    <x v="0"/>
    <x v="1"/>
    <n v="500"/>
    <n v="0.93720185266062228"/>
    <n v="533.50300000000004"/>
    <x v="1"/>
    <s v="CR-S-D1"/>
    <s v="PALF"/>
    <s v="OAT"/>
    <s v="CONGO"/>
    <m/>
    <m/>
    <m/>
  </r>
  <r>
    <d v="2025-09-11T00:00:00"/>
    <s v="Taxi hotel-cf marché,pas de fonds disponible"/>
    <x v="0"/>
    <x v="3"/>
    <n v="1000"/>
    <n v="1.8744037053212446"/>
    <n v="533.50300000000004"/>
    <x v="3"/>
    <s v="P29-S-D1"/>
    <s v="PALF"/>
    <s v="OAT"/>
    <s v="CONGO"/>
    <m/>
    <m/>
    <m/>
  </r>
  <r>
    <d v="2025-09-11T00:00:00"/>
    <s v="Taxi cf marché-cf cv,retrait des fonds"/>
    <x v="0"/>
    <x v="3"/>
    <n v="1000"/>
    <n v="1.8744037053212446"/>
    <n v="533.50300000000004"/>
    <x v="3"/>
    <s v="P29-S-D1"/>
    <s v="PALF"/>
    <s v="OAT"/>
    <s v="CONGO"/>
    <m/>
    <m/>
    <m/>
  </r>
  <r>
    <d v="2025-09-11T00:00:00"/>
    <s v="Taxi cf -sab,reperage"/>
    <x v="0"/>
    <x v="3"/>
    <n v="1000"/>
    <n v="1.8744037053212446"/>
    <n v="533.50300000000004"/>
    <x v="3"/>
    <s v="P29-S-D1"/>
    <s v="PALF"/>
    <s v="OAT"/>
    <s v="CONGO"/>
    <m/>
    <m/>
    <m/>
  </r>
  <r>
    <d v="2025-09-11T00:00:00"/>
    <s v="Taxi sab-ecole du marché,prperage"/>
    <x v="0"/>
    <x v="3"/>
    <n v="1000"/>
    <n v="1.8744037053212446"/>
    <n v="533.50300000000004"/>
    <x v="3"/>
    <s v="P29-S-D1"/>
    <s v="PALF"/>
    <s v="OAT"/>
    <s v="CONGO"/>
    <m/>
    <m/>
    <m/>
  </r>
  <r>
    <d v="2025-09-11T00:00:00"/>
    <s v="Taxi ecole du marché-aeroport,reperage"/>
    <x v="0"/>
    <x v="3"/>
    <n v="1000"/>
    <n v="1.8744037053212446"/>
    <n v="533.50300000000004"/>
    <x v="3"/>
    <s v="P29-S-D1"/>
    <s v="PALF"/>
    <s v="OAT"/>
    <s v="CONGO"/>
    <m/>
    <m/>
    <m/>
  </r>
  <r>
    <d v="2025-09-11T00:00:00"/>
    <s v="Taxi aeroprt-capable,reperage"/>
    <x v="0"/>
    <x v="3"/>
    <n v="1000"/>
    <n v="1.8744037053212446"/>
    <n v="533.50300000000004"/>
    <x v="3"/>
    <s v="P29-S-D1"/>
    <s v="PALF"/>
    <s v="OAT"/>
    <s v="CONGO"/>
    <m/>
    <m/>
    <m/>
  </r>
  <r>
    <d v="2025-09-11T00:00:00"/>
    <s v="Taxi capable-hotel"/>
    <x v="0"/>
    <x v="3"/>
    <n v="1000"/>
    <n v="1.8744037053212446"/>
    <n v="533.50300000000004"/>
    <x v="3"/>
    <s v="P29-S-D1"/>
    <s v="PALF"/>
    <s v="OAT"/>
    <s v="CONGO"/>
    <m/>
    <m/>
    <m/>
  </r>
  <r>
    <d v="2025-09-11T00:00:00"/>
    <s v="Taxi : hotel - petit zanaga ( rendez - vous avec la cible)"/>
    <x v="0"/>
    <x v="3"/>
    <n v="1000"/>
    <n v="1.8744037053212446"/>
    <n v="533.50300000000004"/>
    <x v="4"/>
    <s v="T73-S-D1"/>
    <s v="PALF"/>
    <s v="OAT"/>
    <s v="CONGO"/>
    <m/>
    <m/>
    <m/>
  </r>
  <r>
    <d v="2025-09-11T00:00:00"/>
    <s v="Taxi : petit zanaga - centre ville ( rendez - vous avec la cible)"/>
    <x v="0"/>
    <x v="3"/>
    <n v="1000"/>
    <n v="1.8744037053212446"/>
    <n v="533.50300000000004"/>
    <x v="4"/>
    <s v="T73-S-D1"/>
    <s v="PALF"/>
    <s v="OAT"/>
    <s v="CONGO"/>
    <m/>
    <m/>
    <m/>
  </r>
  <r>
    <d v="2025-09-11T00:00:00"/>
    <s v="Taxi : centre ville - marché (extraction)"/>
    <x v="0"/>
    <x v="3"/>
    <n v="1000"/>
    <n v="1.8744037053212446"/>
    <n v="533.50300000000004"/>
    <x v="4"/>
    <s v="T73-S-D1"/>
    <s v="PALF"/>
    <s v="OAT"/>
    <s v="CONGO"/>
    <m/>
    <m/>
    <m/>
  </r>
  <r>
    <d v="2025-09-11T00:00:00"/>
    <s v="Taxi : marché - zone hopital (extraction)"/>
    <x v="0"/>
    <x v="3"/>
    <n v="1000"/>
    <n v="1.8744037053212446"/>
    <n v="533.50300000000004"/>
    <x v="4"/>
    <s v="T73-S-D1"/>
    <s v="PALF"/>
    <s v="OAT"/>
    <s v="CONGO"/>
    <m/>
    <m/>
    <m/>
  </r>
  <r>
    <d v="2025-09-11T00:00:00"/>
    <s v="Taxi : zone hopital - zone stade  (extraction)"/>
    <x v="0"/>
    <x v="3"/>
    <n v="1000"/>
    <n v="1.8744037053212446"/>
    <n v="533.50300000000004"/>
    <x v="4"/>
    <s v="T73-S-D1"/>
    <s v="PALF"/>
    <s v="OAT"/>
    <s v="CONGO"/>
    <m/>
    <m/>
    <m/>
  </r>
  <r>
    <d v="2025-09-11T00:00:00"/>
    <s v="Taxi : zone stade - charden farrel (recuperer fond)"/>
    <x v="0"/>
    <x v="3"/>
    <n v="1000"/>
    <n v="1.8744037053212446"/>
    <n v="533.50300000000004"/>
    <x v="4"/>
    <s v="T73-S-D1"/>
    <s v="PALF"/>
    <s v="OAT"/>
    <s v="CONGO"/>
    <m/>
    <m/>
    <m/>
  </r>
  <r>
    <d v="2025-09-11T00:00:00"/>
    <s v="Taxi : charden farrel - hotel (fin de journée)"/>
    <x v="0"/>
    <x v="3"/>
    <n v="1000"/>
    <n v="1.8744037053212446"/>
    <n v="533.50300000000004"/>
    <x v="4"/>
    <s v="T73-S-D1"/>
    <s v="PALF"/>
    <s v="OAT"/>
    <s v="CONGO"/>
    <m/>
    <m/>
    <m/>
  </r>
  <r>
    <d v="2025-09-11T00:00:00"/>
    <s v="Taxi : zone stade -hotel  (extraction)"/>
    <x v="0"/>
    <x v="3"/>
    <n v="1000"/>
    <n v="1.8744037053212446"/>
    <n v="533.50300000000004"/>
    <x v="4"/>
    <s v="T73-S-D1"/>
    <s v="PALF"/>
    <s v="OAT"/>
    <s v="CONGO"/>
    <m/>
    <m/>
    <m/>
  </r>
  <r>
    <d v="2025-09-11T00:00:00"/>
    <s v="achat boissons et nourriture ( une cible)"/>
    <x v="11"/>
    <x v="3"/>
    <n v="10500"/>
    <n v="19.681238905873066"/>
    <n v="533.50300000000004"/>
    <x v="4"/>
    <s v="T73-S-D3"/>
    <s v="PALF"/>
    <s v="OAT"/>
    <s v="CONGO"/>
    <m/>
    <m/>
    <m/>
  </r>
  <r>
    <d v="2025-09-11T00:00:00"/>
    <s v="Taxi:Bureau-Cabinet BANZOUZI pour le rétrait du rapport de mission"/>
    <x v="0"/>
    <x v="1"/>
    <n v="1000"/>
    <n v="1.8744037053212446"/>
    <n v="533.50300000000004"/>
    <x v="8"/>
    <s v="RO-S-D1"/>
    <s v="PALF"/>
    <s v="OAT"/>
    <s v="CONGO"/>
    <m/>
    <m/>
    <m/>
  </r>
  <r>
    <d v="2025-09-11T00:00:00"/>
    <s v="Taxi:Cabinet BANZOUZI-Bureau"/>
    <x v="0"/>
    <x v="1"/>
    <n v="1000"/>
    <n v="1.8744037053212446"/>
    <n v="533.50300000000004"/>
    <x v="8"/>
    <s v="RO-S-D1"/>
    <s v="PALF"/>
    <s v="OAT"/>
    <s v="CONGO"/>
    <m/>
    <m/>
    <m/>
  </r>
  <r>
    <d v="2025-09-11T00:00:00"/>
    <s v="Taxi moto Charden farell-Agence Océan du Nord/ Regulariser les billets"/>
    <x v="4"/>
    <x v="1"/>
    <n v="500"/>
    <n v="0.93720185266062228"/>
    <n v="533.50300000000004"/>
    <x v="9"/>
    <s v="DR-S-D1"/>
    <s v="PALF"/>
    <s v="OAT"/>
    <s v="CONGO"/>
    <m/>
    <m/>
    <m/>
  </r>
  <r>
    <d v="2025-09-11T00:00:00"/>
    <s v="Taxi moto Agence Océan du Nord-Hôtel Mithé"/>
    <x v="4"/>
    <x v="1"/>
    <n v="500"/>
    <n v="0.93720185266062228"/>
    <n v="533.50300000000004"/>
    <x v="9"/>
    <s v="DR-S-D1"/>
    <s v="PALF"/>
    <s v="OAT"/>
    <s v="CONGO"/>
    <m/>
    <m/>
    <m/>
  </r>
  <r>
    <d v="2025-09-11T00:00:00"/>
    <s v="Taxi moto Hôtel Mithé Océan du Nord/ Formalités"/>
    <x v="4"/>
    <x v="1"/>
    <n v="500"/>
    <n v="0.93720185266062228"/>
    <n v="533.50300000000004"/>
    <x v="9"/>
    <s v="DR-S-D1"/>
    <s v="PALF"/>
    <s v="OAT"/>
    <s v="CONGO"/>
    <m/>
    <m/>
    <m/>
  </r>
  <r>
    <d v="2025-09-11T00:00:00"/>
    <s v="Taxi moto Agence Océan du Nord-Hôtel Mithé"/>
    <x v="4"/>
    <x v="1"/>
    <n v="500"/>
    <n v="0.93720185266062228"/>
    <n v="533.50300000000004"/>
    <x v="9"/>
    <s v="DR-S-D1"/>
    <s v="PALF"/>
    <s v="OAT"/>
    <s v="CONGO"/>
    <m/>
    <m/>
    <m/>
  </r>
  <r>
    <d v="2025-09-12T00:00:00"/>
    <s v="Achat billet Imfondo-Brazzaville/ Donald-Roméo"/>
    <x v="4"/>
    <x v="1"/>
    <n v="37000"/>
    <n v="65.960473631854981"/>
    <n v="560.94200000000001"/>
    <x v="9"/>
    <s v="DR-S-R2"/>
    <s v="PALF"/>
    <s v="Wildcat 2025"/>
    <s v="CONGO"/>
    <m/>
    <m/>
    <m/>
  </r>
  <r>
    <d v="2025-09-11T00:00:00"/>
    <s v="Taxi: Bureau-Charden Farrell(pour le transfert des fonds)"/>
    <x v="0"/>
    <x v="1"/>
    <n v="500"/>
    <n v="0.93720185266062228"/>
    <n v="533.50300000000004"/>
    <x v="11"/>
    <s v="RM-S-D1"/>
    <s v="PALF"/>
    <s v="OAT"/>
    <s v="CONGO"/>
    <m/>
    <m/>
    <m/>
  </r>
  <r>
    <d v="2025-09-11T00:00:00"/>
    <s v="Taxi: Charden Farell-Bureau"/>
    <x v="0"/>
    <x v="1"/>
    <n v="500"/>
    <n v="0.93720185266062228"/>
    <n v="533.50300000000004"/>
    <x v="11"/>
    <s v="RM-S-D1"/>
    <s v="PALF"/>
    <s v="OAT"/>
    <s v="CONGO"/>
    <m/>
    <m/>
    <m/>
  </r>
  <r>
    <d v="2025-09-11T00:00:00"/>
    <s v="Frais de tansfert d'argent à T73 et P29"/>
    <x v="3"/>
    <x v="2"/>
    <n v="7200"/>
    <n v="13.49570667831296"/>
    <n v="533.50300000000004"/>
    <x v="11"/>
    <s v="CA-S-R11"/>
    <s v="PALF"/>
    <s v="OAT"/>
    <s v="CONGO"/>
    <m/>
    <m/>
    <m/>
  </r>
  <r>
    <d v="2025-09-12T00:00:00"/>
    <s v="Maison-Bureau"/>
    <x v="0"/>
    <x v="0"/>
    <n v="1000"/>
    <n v="1.8744037053212446"/>
    <n v="533.50300000000004"/>
    <x v="0"/>
    <s v="DH-S-D1"/>
    <s v="PALF"/>
    <s v="OAT"/>
    <s v="CONGO"/>
    <m/>
    <m/>
    <m/>
  </r>
  <r>
    <d v="2025-09-12T00:00:00"/>
    <s v="Parc Zoologique - Bureau"/>
    <x v="0"/>
    <x v="0"/>
    <n v="1000"/>
    <n v="1.8744037053212446"/>
    <n v="533.50300000000004"/>
    <x v="0"/>
    <s v="DH-S-D1"/>
    <s v="PALF"/>
    <s v="OAT"/>
    <s v="CONGO"/>
    <m/>
    <m/>
    <m/>
  </r>
  <r>
    <d v="2025-09-12T00:00:00"/>
    <s v="Bureau-Maison"/>
    <x v="0"/>
    <x v="0"/>
    <n v="1000"/>
    <n v="1.8744037053212446"/>
    <n v="533.50300000000004"/>
    <x v="0"/>
    <s v="DH-S-D1"/>
    <s v="PALF"/>
    <s v="OAT"/>
    <s v="CONGO"/>
    <m/>
    <m/>
    <m/>
  </r>
  <r>
    <d v="2025-09-12T00:00:00"/>
    <s v="CREPIN-CONGO Frais d'hôtel Crépin  du 25/08/ au 12/09/2025 à Impfondo (18 Nuitées)"/>
    <x v="2"/>
    <x v="1"/>
    <n v="270000"/>
    <n v="506.089000436736"/>
    <n v="533.50300000000004"/>
    <x v="1"/>
    <s v="CR-S-R6"/>
    <s v="PALF"/>
    <s v="OAT"/>
    <s v="CONGO"/>
    <m/>
    <m/>
    <m/>
  </r>
  <r>
    <d v="2025-09-12T00:00:00"/>
    <s v="Taxi moto: Hôtel-Agence Océan du Nord"/>
    <x v="0"/>
    <x v="1"/>
    <n v="500"/>
    <n v="0.93720185266062228"/>
    <n v="533.50300000000004"/>
    <x v="1"/>
    <s v="CR-S-D1"/>
    <s v="PALF"/>
    <s v="OAT"/>
    <s v="CONGO"/>
    <m/>
    <m/>
    <m/>
  </r>
  <r>
    <d v="2025-09-12T00:00:00"/>
    <s v="Achat Billet Impfondo-Brazzaville/ CREPIN"/>
    <x v="0"/>
    <x v="1"/>
    <n v="37000"/>
    <n v="69.352937096886052"/>
    <n v="533.50300000000004"/>
    <x v="1"/>
    <s v="CR-S-R7"/>
    <s v="PALF"/>
    <s v="OAT"/>
    <s v="CONGO"/>
    <m/>
    <m/>
    <m/>
  </r>
  <r>
    <d v="2025-09-12T00:00:00"/>
    <s v="Taxi hotel-mboukou,reperage"/>
    <x v="0"/>
    <x v="3"/>
    <n v="1000"/>
    <n v="1.8744037053212446"/>
    <n v="533.50300000000004"/>
    <x v="3"/>
    <s v="P29-S-D1"/>
    <s v="PALF"/>
    <s v="OAT"/>
    <s v="CONGO"/>
    <m/>
    <m/>
    <m/>
  </r>
  <r>
    <d v="2025-09-12T00:00:00"/>
    <s v="Taxi mboukou-tsila,reperage"/>
    <x v="0"/>
    <x v="3"/>
    <n v="1500"/>
    <n v="2.8116055579818666"/>
    <n v="533.50300000000004"/>
    <x v="3"/>
    <s v="P29-S-D1"/>
    <s v="PALF"/>
    <s v="OAT"/>
    <s v="CONGO"/>
    <m/>
    <m/>
    <m/>
  </r>
  <r>
    <d v="2025-09-12T00:00:00"/>
    <s v="Taxi tsila-mont fleury,reperage"/>
    <x v="0"/>
    <x v="3"/>
    <n v="1000"/>
    <n v="1.8744037053212446"/>
    <n v="533.50300000000004"/>
    <x v="3"/>
    <s v="P29-S-D1"/>
    <s v="PALF"/>
    <s v="OAT"/>
    <s v="CONGO"/>
    <m/>
    <m/>
    <m/>
  </r>
  <r>
    <d v="2025-09-12T00:00:00"/>
    <s v="Taxi mont fleury-gaia,reperage"/>
    <x v="0"/>
    <x v="3"/>
    <n v="1000"/>
    <n v="1.8744037053212446"/>
    <n v="533.50300000000004"/>
    <x v="3"/>
    <s v="P29-S-D1"/>
    <s v="PALF"/>
    <s v="OAT"/>
    <s v="CONGO"/>
    <m/>
    <m/>
    <m/>
  </r>
  <r>
    <d v="2025-09-12T00:00:00"/>
    <s v="Taxi gaia-la frontière,reperage"/>
    <x v="0"/>
    <x v="3"/>
    <n v="1000"/>
    <n v="1.8744037053212446"/>
    <n v="533.50300000000004"/>
    <x v="3"/>
    <s v="P29-S-D1"/>
    <s v="PALF"/>
    <s v="OAT"/>
    <s v="CONGO"/>
    <m/>
    <m/>
    <m/>
  </r>
  <r>
    <d v="2025-09-12T00:00:00"/>
    <s v="Taxi la frontière-hotel"/>
    <x v="0"/>
    <x v="3"/>
    <n v="1000"/>
    <n v="1.8744037053212446"/>
    <n v="533.50300000000004"/>
    <x v="3"/>
    <s v="P29-S-D1"/>
    <s v="PALF"/>
    <s v="OAT"/>
    <s v="CONGO"/>
    <m/>
    <m/>
    <m/>
  </r>
  <r>
    <d v="2025-09-12T00:00:00"/>
    <s v="Taxi : hotel - centre ville (repérage lieu OP)"/>
    <x v="0"/>
    <x v="3"/>
    <n v="1000"/>
    <n v="1.8744037053212446"/>
    <n v="533.50300000000004"/>
    <x v="4"/>
    <s v="T73-S-D1"/>
    <s v="PALF"/>
    <s v="OAT"/>
    <s v="CONGO"/>
    <m/>
    <m/>
    <m/>
  </r>
  <r>
    <d v="2025-09-12T00:00:00"/>
    <s v="Taxi : centre ville - gaya (repérage lieu OP)"/>
    <x v="0"/>
    <x v="3"/>
    <n v="1000"/>
    <n v="1.8744037053212446"/>
    <n v="533.50300000000004"/>
    <x v="4"/>
    <s v="T73-S-D1"/>
    <s v="PALF"/>
    <s v="OAT"/>
    <s v="CONGO"/>
    <m/>
    <m/>
    <m/>
  </r>
  <r>
    <d v="2025-09-12T00:00:00"/>
    <s v="Taxi : gaya - tsila (repérage lieu OP)"/>
    <x v="0"/>
    <x v="3"/>
    <n v="1000"/>
    <n v="1.8744037053212446"/>
    <n v="533.50300000000004"/>
    <x v="4"/>
    <s v="T73-S-D1"/>
    <s v="PALF"/>
    <s v="OAT"/>
    <s v="CONGO"/>
    <m/>
    <m/>
    <m/>
  </r>
  <r>
    <d v="2025-09-12T00:00:00"/>
    <s v="Taxi : tsila - hotel (repérage lieu OP)"/>
    <x v="0"/>
    <x v="3"/>
    <n v="1000"/>
    <n v="1.8744037053212446"/>
    <n v="533.50300000000004"/>
    <x v="4"/>
    <s v="T73-S-D1"/>
    <s v="PALF"/>
    <s v="OAT"/>
    <s v="CONGO"/>
    <m/>
    <m/>
    <m/>
  </r>
  <r>
    <d v="2025-09-12T00:00:00"/>
    <s v="Taxi:Bureau-Agence énergie électrique du Congo"/>
    <x v="0"/>
    <x v="1"/>
    <n v="1000"/>
    <n v="1.8744037053212446"/>
    <n v="533.50300000000004"/>
    <x v="8"/>
    <s v="RO-S-D1"/>
    <s v="PALF"/>
    <s v="OAT"/>
    <s v="CONGO"/>
    <m/>
    <m/>
    <m/>
  </r>
  <r>
    <d v="2025-09-12T00:00:00"/>
    <s v="Taxi:Agence énergie électrique du Congo-Bureau"/>
    <x v="0"/>
    <x v="1"/>
    <n v="1000"/>
    <n v="1.8744037053212446"/>
    <n v="533.50300000000004"/>
    <x v="8"/>
    <s v="RO-S-D1"/>
    <s v="PALF"/>
    <s v="OAT"/>
    <s v="CONGO"/>
    <m/>
    <m/>
    <m/>
  </r>
  <r>
    <d v="2025-09-12T00:00:00"/>
    <s v="Réglement facture électricité periode Juillet-Aôut 2025/bureau PALF"/>
    <x v="9"/>
    <x v="2"/>
    <n v="55270"/>
    <n v="103.59829279310519"/>
    <n v="533.50300000000004"/>
    <x v="8"/>
    <s v="CA-S-R12"/>
    <s v="PALF"/>
    <s v="OAT"/>
    <s v="CONGO"/>
    <m/>
    <m/>
    <m/>
  </r>
  <r>
    <d v="2025-09-12T00:00:00"/>
    <s v="Donald-Roméo CONGO Frais d'hôtel/  27 Nuitées du 16/08 au 12/09/2025 à Impfondo (Hôtel  Mithé)"/>
    <x v="2"/>
    <x v="1"/>
    <n v="405000"/>
    <n v="759.13350065510406"/>
    <n v="533.50300000000004"/>
    <x v="9"/>
    <s v="DR-S-R4"/>
    <s v="PALF"/>
    <s v="OAT"/>
    <s v="CONGO"/>
    <m/>
    <m/>
    <m/>
  </r>
  <r>
    <d v="2025-09-12T00:00:00"/>
    <s v="Taxi moto Hôtel Mithé-Agence océan du Nord/ Pour Brazzaville"/>
    <x v="4"/>
    <x v="1"/>
    <n v="500"/>
    <n v="0.93720185266062228"/>
    <n v="533.50300000000004"/>
    <x v="9"/>
    <s v="DR-S-D1"/>
    <s v="PALF"/>
    <s v="OAT"/>
    <s v="CONGO"/>
    <m/>
    <m/>
    <m/>
  </r>
  <r>
    <d v="2025-09-12T00:00:00"/>
    <s v="Taxi moto agence océan du Nord- Hôtel Paulina/ A Enyellé"/>
    <x v="4"/>
    <x v="1"/>
    <n v="500"/>
    <n v="0.93720185266062228"/>
    <n v="533.50300000000004"/>
    <x v="9"/>
    <s v="DR-S-D1"/>
    <s v="PALF"/>
    <s v="OAT"/>
    <s v="CONGO"/>
    <m/>
    <m/>
    <m/>
  </r>
  <r>
    <d v="2025-09-13T00:00:00"/>
    <s v="CREPIN-CONGO Frais d'hôtel Crépin du 12 au 13/09/2025 à Enyellé (01 Nuitée)"/>
    <x v="2"/>
    <x v="1"/>
    <n v="15000"/>
    <n v="28.116055579818667"/>
    <n v="533.50300000000004"/>
    <x v="1"/>
    <s v="CR-S-R8"/>
    <s v="PALF"/>
    <s v="OAT"/>
    <s v="CONGO"/>
    <m/>
    <m/>
    <m/>
  </r>
  <r>
    <d v="2025-09-13T00:00:00"/>
    <s v="Taxi hotel -hotel pola,détails sur reperage lieu op"/>
    <x v="0"/>
    <x v="3"/>
    <n v="1000"/>
    <n v="1.8744037053212446"/>
    <n v="533.50300000000004"/>
    <x v="3"/>
    <s v="P29-S-D1"/>
    <s v="PALF"/>
    <s v="OAT"/>
    <s v="CONGO"/>
    <m/>
    <m/>
    <m/>
  </r>
  <r>
    <d v="2025-09-13T00:00:00"/>
    <s v="Taxi hotel pola-hotel"/>
    <x v="0"/>
    <x v="3"/>
    <n v="1000"/>
    <n v="1.8744037053212446"/>
    <n v="533.50300000000004"/>
    <x v="3"/>
    <s v="P29-S-D1"/>
    <s v="PALF"/>
    <s v="OAT"/>
    <s v="CONGO"/>
    <m/>
    <m/>
    <m/>
  </r>
  <r>
    <d v="2025-09-13T00:00:00"/>
    <s v="Taxi hotel -hotel pola,détails sur reperage lieu op"/>
    <x v="0"/>
    <x v="3"/>
    <n v="1000"/>
    <n v="1.8744037053212446"/>
    <n v="533.50300000000004"/>
    <x v="3"/>
    <s v="P29-S-D1"/>
    <s v="PALF"/>
    <s v="OAT"/>
    <s v="CONGO"/>
    <m/>
    <m/>
    <m/>
  </r>
  <r>
    <d v="2025-09-13T00:00:00"/>
    <s v="Taxi hotel pola-hotel"/>
    <x v="0"/>
    <x v="3"/>
    <n v="1000"/>
    <n v="1.8744037053212446"/>
    <n v="533.50300000000004"/>
    <x v="3"/>
    <s v="P29-S-D1"/>
    <s v="PALF"/>
    <s v="OAT"/>
    <s v="CONGO"/>
    <m/>
    <m/>
    <m/>
  </r>
  <r>
    <d v="2025-09-13T00:00:00"/>
    <s v="Taxi : hotel pharaon - hotel de P29"/>
    <x v="0"/>
    <x v="3"/>
    <n v="1000"/>
    <n v="1.8744037053212446"/>
    <n v="533.50300000000004"/>
    <x v="4"/>
    <s v="T73-S-D1"/>
    <s v="PALF"/>
    <s v="OAT"/>
    <s v="CONGO"/>
    <m/>
    <m/>
    <m/>
  </r>
  <r>
    <d v="2025-09-13T00:00:00"/>
    <s v="Taxi : hotel de P29 - hotel pharaon"/>
    <x v="0"/>
    <x v="3"/>
    <n v="1000"/>
    <n v="1.8744037053212446"/>
    <n v="533.50300000000004"/>
    <x v="4"/>
    <s v="T73-S-D1"/>
    <s v="PALF"/>
    <s v="OAT"/>
    <s v="CONGO"/>
    <m/>
    <m/>
    <m/>
  </r>
  <r>
    <d v="2025-09-13T00:00:00"/>
    <s v="Donald-Roméo CONGO Frais d'hôtel/  01 Nuitée du 12 au 13/09/2025 à Enyellé (Hôtel  Paulina)"/>
    <x v="2"/>
    <x v="1"/>
    <n v="15000"/>
    <n v="28.116055579818667"/>
    <n v="533.50300000000004"/>
    <x v="9"/>
    <s v="DR-S-R5"/>
    <s v="PALF"/>
    <s v="OAT"/>
    <s v="CONGO"/>
    <m/>
    <m/>
    <m/>
  </r>
  <r>
    <d v="2025-09-13T00:00:00"/>
    <s v="Taxi moto  Hôtel Paulina-agence océan du Nord"/>
    <x v="4"/>
    <x v="1"/>
    <n v="500"/>
    <n v="0.93720185266062228"/>
    <n v="533.50300000000004"/>
    <x v="9"/>
    <s v="DR-S-D1"/>
    <s v="PALF"/>
    <s v="OAT"/>
    <s v="CONGO"/>
    <m/>
    <m/>
    <m/>
  </r>
  <r>
    <d v="2025-09-13T00:00:00"/>
    <s v="Taxi moto agence océan du Nord-Hôtel Baobab"/>
    <x v="4"/>
    <x v="1"/>
    <n v="500"/>
    <n v="0.93720185266062228"/>
    <n v="533.50300000000004"/>
    <x v="9"/>
    <s v="DR-S-D1"/>
    <s v="PALF"/>
    <s v="OAT"/>
    <s v="CONGO"/>
    <m/>
    <m/>
    <m/>
  </r>
  <r>
    <d v="2025-09-14T00:00:00"/>
    <s v="CREPIN- CONGO Frais d'hôtel Crépin du 13 au 14/09/2025 à Gamboma (01 Nuitée)"/>
    <x v="2"/>
    <x v="1"/>
    <n v="15000"/>
    <n v="28.116055579818667"/>
    <n v="533.50300000000004"/>
    <x v="1"/>
    <s v="CR-S-R9"/>
    <s v="PALF"/>
    <s v="OAT"/>
    <s v="CONGO"/>
    <m/>
    <m/>
    <m/>
  </r>
  <r>
    <d v="2025-09-14T00:00:00"/>
    <s v="Taxi: Agence Océan de Talangai liberté-Camp militaire Mfilou"/>
    <x v="0"/>
    <x v="1"/>
    <n v="3500"/>
    <n v="6.5604129686243562"/>
    <n v="533.50300000000004"/>
    <x v="1"/>
    <s v="CR-S-D1"/>
    <s v="PALF"/>
    <s v="OAT"/>
    <s v="CONGO"/>
    <m/>
    <m/>
    <m/>
  </r>
  <r>
    <d v="2025-09-14T00:00:00"/>
    <s v="Taxi hotel -hotel pola,détails sur reperage lieu op"/>
    <x v="0"/>
    <x v="3"/>
    <n v="1000"/>
    <n v="1.8744037053212446"/>
    <n v="533.50300000000004"/>
    <x v="3"/>
    <s v="P29-S-D1"/>
    <s v="PALF"/>
    <s v="OAT"/>
    <s v="CONGO"/>
    <m/>
    <m/>
    <m/>
  </r>
  <r>
    <d v="2025-09-14T00:00:00"/>
    <s v="Taxi hotel pola-hotel"/>
    <x v="0"/>
    <x v="3"/>
    <n v="1000"/>
    <n v="1.8744037053212446"/>
    <n v="533.50300000000004"/>
    <x v="3"/>
    <s v="P29-S-D1"/>
    <s v="PALF"/>
    <s v="OAT"/>
    <s v="CONGO"/>
    <m/>
    <m/>
    <m/>
  </r>
  <r>
    <d v="2025-09-14T00:00:00"/>
    <s v="Taxi hotel -hotel pola,détails sur reperage lieu op"/>
    <x v="0"/>
    <x v="3"/>
    <n v="1000"/>
    <n v="1.8744037053212446"/>
    <n v="533.50300000000004"/>
    <x v="3"/>
    <s v="P29-S-D1"/>
    <s v="PALF"/>
    <s v="OAT"/>
    <s v="CONGO"/>
    <m/>
    <m/>
    <m/>
  </r>
  <r>
    <d v="2025-09-14T00:00:00"/>
    <s v="Taxi hotel pola-hotel"/>
    <x v="0"/>
    <x v="3"/>
    <n v="1000"/>
    <n v="1.8744037053212446"/>
    <n v="533.50300000000004"/>
    <x v="3"/>
    <s v="P29-S-D1"/>
    <s v="PALF"/>
    <s v="OAT"/>
    <s v="CONGO"/>
    <m/>
    <m/>
    <m/>
  </r>
  <r>
    <d v="2025-09-14T00:00:00"/>
    <s v="Taxi : hotel pharaon - mont fleury ( reperage)"/>
    <x v="0"/>
    <x v="3"/>
    <n v="1000"/>
    <n v="1.8744037053212446"/>
    <n v="533.50300000000004"/>
    <x v="4"/>
    <s v="T73-S-D1"/>
    <s v="PALF"/>
    <s v="OAT"/>
    <s v="CONGO"/>
    <m/>
    <m/>
    <m/>
  </r>
  <r>
    <d v="2025-09-14T00:00:00"/>
    <s v="Taxi : mont fleury - bas fleury ( reperage)"/>
    <x v="0"/>
    <x v="3"/>
    <n v="1000"/>
    <n v="1.8744037053212446"/>
    <n v="533.50300000000004"/>
    <x v="4"/>
    <s v="T73-S-D1"/>
    <s v="PALF"/>
    <s v="OAT"/>
    <s v="CONGO"/>
    <m/>
    <m/>
    <m/>
  </r>
  <r>
    <d v="2025-09-14T00:00:00"/>
    <s v="Taxi : bas fleury - centre ville ( reperage)"/>
    <x v="0"/>
    <x v="3"/>
    <n v="1000"/>
    <n v="1.8744037053212446"/>
    <n v="533.50300000000004"/>
    <x v="4"/>
    <s v="T73-S-D1"/>
    <s v="PALF"/>
    <s v="OAT"/>
    <s v="CONGO"/>
    <m/>
    <m/>
    <m/>
  </r>
  <r>
    <d v="2025-09-14T00:00:00"/>
    <s v="Taxi : centre ville - zone charden farel ( reperage)"/>
    <x v="0"/>
    <x v="3"/>
    <n v="1000"/>
    <n v="1.8744037053212446"/>
    <n v="533.50300000000004"/>
    <x v="4"/>
    <s v="T73-S-D1"/>
    <s v="PALF"/>
    <s v="OAT"/>
    <s v="CONGO"/>
    <m/>
    <m/>
    <m/>
  </r>
  <r>
    <d v="2025-09-14T00:00:00"/>
    <s v="Taxi : zone charden farel - tsila ( reperage)"/>
    <x v="0"/>
    <x v="3"/>
    <n v="1000"/>
    <n v="1.8744037053212446"/>
    <n v="533.50300000000004"/>
    <x v="4"/>
    <s v="T73-S-D1"/>
    <s v="PALF"/>
    <s v="OAT"/>
    <s v="CONGO"/>
    <m/>
    <m/>
    <m/>
  </r>
  <r>
    <d v="2025-09-14T00:00:00"/>
    <s v="Taxi : tsila - centre ville ( reperage)"/>
    <x v="0"/>
    <x v="3"/>
    <n v="1000"/>
    <n v="1.8744037053212446"/>
    <n v="533.50300000000004"/>
    <x v="4"/>
    <s v="T73-S-D1"/>
    <s v="PALF"/>
    <s v="OAT"/>
    <s v="CONGO"/>
    <m/>
    <m/>
    <m/>
  </r>
  <r>
    <d v="2025-09-14T00:00:00"/>
    <s v="Taxi : centre ville - hotel ( reperage)"/>
    <x v="0"/>
    <x v="3"/>
    <n v="1000"/>
    <n v="1.8744037053212446"/>
    <n v="533.50300000000004"/>
    <x v="4"/>
    <s v="T73-S-D1"/>
    <s v="PALF"/>
    <s v="OAT"/>
    <s v="CONGO"/>
    <m/>
    <m/>
    <m/>
  </r>
  <r>
    <d v="2025-09-14T00:00:00"/>
    <s v="Donald-Roméo CONGO Frais d'hôtel/  01 Nuitée du 13 au 14/09/2025 à Gamboma (Hôtel  Baobab)"/>
    <x v="2"/>
    <x v="1"/>
    <n v="15000"/>
    <n v="28.116055579818667"/>
    <n v="533.50300000000004"/>
    <x v="9"/>
    <s v="DR-S-R6"/>
    <s v="PALF"/>
    <s v="OAT"/>
    <s v="CONGO"/>
    <m/>
    <m/>
    <m/>
  </r>
  <r>
    <d v="2025-09-14T00:00:00"/>
    <s v="Taxi moto Hôtel Baobad-Agence Océan du Nord de Gamboma/ Pour Brazzaville"/>
    <x v="4"/>
    <x v="1"/>
    <n v="500"/>
    <n v="0.93720185266062228"/>
    <n v="533.50300000000004"/>
    <x v="9"/>
    <s v="DR-S-D1"/>
    <s v="PALF"/>
    <s v="OAT"/>
    <s v="CONGO"/>
    <m/>
    <m/>
    <m/>
  </r>
  <r>
    <d v="2025-09-14T00:00:00"/>
    <s v="Taxi Agence Ocean du Nord de Talangaï- Domicile"/>
    <x v="4"/>
    <x v="1"/>
    <n v="2500"/>
    <n v="4.6860092633031112"/>
    <n v="533.50300000000004"/>
    <x v="9"/>
    <s v="DR-S-D1"/>
    <s v="PALF"/>
    <s v="OAT"/>
    <s v="CONGO"/>
    <m/>
    <m/>
    <m/>
  </r>
  <r>
    <d v="2025-09-15T00:00:00"/>
    <s v="Maison-Bureau"/>
    <x v="0"/>
    <x v="0"/>
    <n v="1000"/>
    <n v="1.8744037053212446"/>
    <n v="533.50300000000004"/>
    <x v="0"/>
    <s v="DH-S-D1"/>
    <s v="PALF"/>
    <s v="OAT"/>
    <s v="CONGO"/>
    <m/>
    <m/>
    <m/>
  </r>
  <r>
    <d v="2025-09-15T00:00:00"/>
    <s v="Bureau-Maison"/>
    <x v="0"/>
    <x v="0"/>
    <n v="1000"/>
    <n v="1.8744037053212446"/>
    <n v="533.50300000000004"/>
    <x v="0"/>
    <s v="DH-S-D1"/>
    <s v="PALF"/>
    <s v="OAT"/>
    <s v="CONGO"/>
    <m/>
    <m/>
    <m/>
  </r>
  <r>
    <d v="2025-09-15T00:00:00"/>
    <s v="Taxi hotel-bacongo,reperage"/>
    <x v="0"/>
    <x v="3"/>
    <n v="1000"/>
    <n v="1.8744037053212446"/>
    <n v="533.50300000000004"/>
    <x v="3"/>
    <s v="P29-S-D1"/>
    <s v="PALF"/>
    <s v="OAT"/>
    <s v="CONGO"/>
    <m/>
    <m/>
    <m/>
  </r>
  <r>
    <d v="2025-09-15T00:00:00"/>
    <s v="Taxi bacongo-mbougou,reperage"/>
    <x v="0"/>
    <x v="3"/>
    <n v="1000"/>
    <n v="1.8744037053212446"/>
    <n v="533.50300000000004"/>
    <x v="3"/>
    <s v="P29-S-D1"/>
    <s v="PALF"/>
    <s v="OAT"/>
    <s v="CONGO"/>
    <m/>
    <m/>
    <m/>
  </r>
  <r>
    <d v="2025-09-15T00:00:00"/>
    <s v="Taxi mboukou-aeroport,reperage"/>
    <x v="0"/>
    <x v="3"/>
    <n v="1000"/>
    <n v="1.8744037053212446"/>
    <n v="533.50300000000004"/>
    <x v="3"/>
    <s v="P29-S-D1"/>
    <s v="PALF"/>
    <s v="OAT"/>
    <s v="CONGO"/>
    <m/>
    <m/>
    <m/>
  </r>
  <r>
    <d v="2025-09-15T00:00:00"/>
    <s v="Taxi aeroport-cf,retrait des fonds"/>
    <x v="0"/>
    <x v="3"/>
    <n v="1000"/>
    <n v="1.8744037053212446"/>
    <n v="533.50300000000004"/>
    <x v="3"/>
    <s v="P29-S-D1"/>
    <s v="PALF"/>
    <s v="OAT"/>
    <s v="CONGO"/>
    <m/>
    <m/>
    <m/>
  </r>
  <r>
    <d v="2025-09-15T00:00:00"/>
    <s v="Taxi cf-gaia,reperage"/>
    <x v="0"/>
    <x v="3"/>
    <n v="1000"/>
    <n v="1.8744037053212446"/>
    <n v="533.50300000000004"/>
    <x v="3"/>
    <s v="P29-S-D1"/>
    <s v="PALF"/>
    <s v="OAT"/>
    <s v="CONGO"/>
    <m/>
    <m/>
    <m/>
  </r>
  <r>
    <d v="2025-09-15T00:00:00"/>
    <s v="Taxi gaia-hotel,reperage"/>
    <x v="0"/>
    <x v="3"/>
    <n v="1000"/>
    <n v="1.8744037053212446"/>
    <n v="533.50300000000004"/>
    <x v="3"/>
    <s v="P29-S-D1"/>
    <s v="PALF"/>
    <s v="OAT"/>
    <s v="CONGO"/>
    <m/>
    <m/>
    <m/>
  </r>
  <r>
    <d v="2025-09-15T00:00:00"/>
    <s v="Taxi : hotel - lissanga (reperage)"/>
    <x v="0"/>
    <x v="3"/>
    <n v="1000"/>
    <n v="1.8744037053212446"/>
    <n v="533.50300000000004"/>
    <x v="4"/>
    <s v="T73-S-D1"/>
    <s v="PALF"/>
    <s v="OAT"/>
    <s v="CONGO"/>
    <m/>
    <m/>
    <m/>
  </r>
  <r>
    <d v="2025-09-15T00:00:00"/>
    <s v="Taxi : lissanga - bacongo (repérage)"/>
    <x v="0"/>
    <x v="3"/>
    <n v="1000"/>
    <n v="1.8744037053212446"/>
    <n v="533.50300000000004"/>
    <x v="4"/>
    <s v="T73-S-D1"/>
    <s v="PALF"/>
    <s v="OAT"/>
    <s v="CONGO"/>
    <m/>
    <m/>
    <m/>
  </r>
  <r>
    <d v="2025-09-15T00:00:00"/>
    <s v="Taxi : bacongo - gare routiere (réperage)"/>
    <x v="0"/>
    <x v="3"/>
    <n v="1000"/>
    <n v="1.8744037053212446"/>
    <n v="533.50300000000004"/>
    <x v="4"/>
    <s v="T73-S-D1"/>
    <s v="PALF"/>
    <s v="OAT"/>
    <s v="CONGO"/>
    <m/>
    <m/>
    <m/>
  </r>
  <r>
    <d v="2025-09-15T00:00:00"/>
    <s v="Taxi : gare routiere - gaya(reperage)"/>
    <x v="0"/>
    <x v="3"/>
    <n v="1000"/>
    <n v="1.8744037053212446"/>
    <n v="533.50300000000004"/>
    <x v="4"/>
    <s v="T73-S-D1"/>
    <s v="PALF"/>
    <s v="OAT"/>
    <s v="CONGO"/>
    <m/>
    <m/>
    <m/>
  </r>
  <r>
    <d v="2025-09-15T00:00:00"/>
    <s v="Taxi : gaya - charden farel (recuperer fond)"/>
    <x v="0"/>
    <x v="3"/>
    <n v="1000"/>
    <n v="1.8744037053212446"/>
    <n v="533.50300000000004"/>
    <x v="4"/>
    <s v="T73-S-D1"/>
    <s v="PALF"/>
    <s v="OAT"/>
    <s v="CONGO"/>
    <m/>
    <m/>
    <m/>
  </r>
  <r>
    <d v="2025-09-15T00:00:00"/>
    <s v="Taxi : charden farel - hotel (reperage)"/>
    <x v="0"/>
    <x v="3"/>
    <n v="1000"/>
    <n v="1.8744037053212446"/>
    <n v="533.50300000000004"/>
    <x v="4"/>
    <s v="T73-S-D1"/>
    <s v="PALF"/>
    <s v="OAT"/>
    <s v="CONGO"/>
    <m/>
    <m/>
    <m/>
  </r>
  <r>
    <d v="2025-09-15T00:00:00"/>
    <s v="Taxi: Bureau-Charden Farell/Transfert de fonds"/>
    <x v="0"/>
    <x v="1"/>
    <n v="500"/>
    <n v="0.93720185266062228"/>
    <n v="533.50300000000004"/>
    <x v="7"/>
    <s v="AB-S-D1"/>
    <s v="PALF"/>
    <s v="OAT"/>
    <s v="CONGO"/>
    <m/>
    <m/>
    <m/>
  </r>
  <r>
    <d v="2025-09-15T00:00:00"/>
    <s v="Taxi: Charden Farel-Bureau"/>
    <x v="0"/>
    <x v="1"/>
    <n v="500"/>
    <n v="0.93720185266062228"/>
    <n v="533.50300000000004"/>
    <x v="7"/>
    <s v="AB-S-D1"/>
    <s v="PALF"/>
    <s v="OAT"/>
    <s v="CONGO"/>
    <m/>
    <m/>
    <m/>
  </r>
  <r>
    <d v="2025-09-15T00:00:00"/>
    <s v="Frais de tansfert d'argent à T73 et P29"/>
    <x v="3"/>
    <x v="2"/>
    <n v="3600"/>
    <n v="6.7478533391564799"/>
    <n v="533.50300000000004"/>
    <x v="7"/>
    <s v="CA-S-R13"/>
    <s v="PALF"/>
    <s v="OAT"/>
    <s v="CONGO"/>
    <m/>
    <m/>
    <m/>
  </r>
  <r>
    <d v="2025-09-16T00:00:00"/>
    <s v="Maison-Bureau"/>
    <x v="0"/>
    <x v="0"/>
    <n v="1000"/>
    <n v="1.8744037053212446"/>
    <n v="533.50300000000004"/>
    <x v="0"/>
    <s v="DH-S-D1"/>
    <s v="PALF"/>
    <s v="OAT"/>
    <s v="CONGO"/>
    <m/>
    <m/>
    <m/>
  </r>
  <r>
    <d v="2025-09-16T00:00:00"/>
    <s v="Bureau-Maison"/>
    <x v="0"/>
    <x v="0"/>
    <n v="1000"/>
    <n v="1.8744037053212446"/>
    <n v="533.50300000000004"/>
    <x v="0"/>
    <s v="DH-S-D1"/>
    <s v="PALF"/>
    <s v="OAT"/>
    <s v="CONGO"/>
    <m/>
    <m/>
    <m/>
  </r>
  <r>
    <d v="2025-09-16T00:00:00"/>
    <s v="Taxi: Domicile-Bureau pour signature des pièces comptables après l'appel de la comptable (Jour de recupération)."/>
    <x v="0"/>
    <x v="1"/>
    <n v="1500"/>
    <n v="2.8116055579818666"/>
    <n v="533.50300000000004"/>
    <x v="1"/>
    <s v="CR-S-D1"/>
    <s v="PALF"/>
    <s v="OAT"/>
    <s v="CONGO"/>
    <m/>
    <m/>
    <m/>
  </r>
  <r>
    <d v="2025-09-16T00:00:00"/>
    <s v="Taxi: Bureau-Domicile"/>
    <x v="0"/>
    <x v="1"/>
    <n v="1500"/>
    <n v="2.8116055579818666"/>
    <n v="533.50300000000004"/>
    <x v="1"/>
    <s v="CR-S-D1"/>
    <s v="PALF"/>
    <s v="OAT"/>
    <s v="CONGO"/>
    <m/>
    <m/>
    <m/>
  </r>
  <r>
    <d v="2025-09-16T00:00:00"/>
    <s v="Taxi:  Bureau-Banque BCI/ Retrait espèce"/>
    <x v="0"/>
    <x v="2"/>
    <n v="1000"/>
    <n v="1.8744037053212446"/>
    <n v="533.50300000000004"/>
    <x v="2"/>
    <s v="P-S-D1"/>
    <s v="PALF"/>
    <s v="OAT"/>
    <s v="CONGO"/>
    <m/>
    <m/>
    <m/>
  </r>
  <r>
    <d v="2025-09-16T00:00:00"/>
    <s v="Taxi:  Banque BCI - Bureau"/>
    <x v="0"/>
    <x v="2"/>
    <n v="1000"/>
    <n v="1.8744037053212446"/>
    <n v="533.50300000000004"/>
    <x v="2"/>
    <s v="P-S-D1"/>
    <s v="PALF"/>
    <s v="OAT"/>
    <s v="CONGO"/>
    <m/>
    <m/>
    <m/>
  </r>
  <r>
    <d v="2025-09-16T00:00:00"/>
    <s v="Taxi hotel-sab,reperage"/>
    <x v="0"/>
    <x v="3"/>
    <n v="1000"/>
    <n v="1.8744037053212446"/>
    <n v="533.50300000000004"/>
    <x v="3"/>
    <s v="P29-S-D1"/>
    <s v="PALF"/>
    <s v="OAT"/>
    <s v="CONGO"/>
    <m/>
    <m/>
    <m/>
  </r>
  <r>
    <d v="2025-09-16T00:00:00"/>
    <s v="Taxi sab-capable,reperage"/>
    <x v="0"/>
    <x v="3"/>
    <n v="1000"/>
    <n v="1.8744037053212446"/>
    <n v="533.50300000000004"/>
    <x v="3"/>
    <s v="P29-S-D1"/>
    <s v="PALF"/>
    <s v="OAT"/>
    <s v="CONGO"/>
    <m/>
    <m/>
    <m/>
  </r>
  <r>
    <d v="2025-09-16T00:00:00"/>
    <s v="Taxi capable-la frontière,reperage"/>
    <x v="0"/>
    <x v="3"/>
    <n v="1000"/>
    <n v="1.8744037053212446"/>
    <n v="533.50300000000004"/>
    <x v="3"/>
    <s v="P29-S-D1"/>
    <s v="PALF"/>
    <s v="OAT"/>
    <s v="CONGO"/>
    <m/>
    <m/>
    <m/>
  </r>
  <r>
    <d v="2025-09-16T00:00:00"/>
    <s v="Taxi la frontière-hotel,envoi 3 docs à la cordination"/>
    <x v="0"/>
    <x v="3"/>
    <n v="1000"/>
    <n v="1.8744037053212446"/>
    <n v="533.50300000000004"/>
    <x v="3"/>
    <s v="P29-S-D1"/>
    <s v="PALF"/>
    <s v="OAT"/>
    <s v="CONGO"/>
    <m/>
    <m/>
    <m/>
  </r>
  <r>
    <d v="2025-09-16T00:00:00"/>
    <s v="Taxi hotel-la frontière,rsuite reperage"/>
    <x v="0"/>
    <x v="3"/>
    <n v="1000"/>
    <n v="1.8744037053212446"/>
    <n v="533.50300000000004"/>
    <x v="3"/>
    <s v="P29-S-D1"/>
    <s v="PALF"/>
    <s v="OAT"/>
    <s v="CONGO"/>
    <m/>
    <m/>
    <m/>
  </r>
  <r>
    <d v="2025-09-16T00:00:00"/>
    <s v="Taxi la frontière-tsila,reperage"/>
    <x v="0"/>
    <x v="3"/>
    <n v="1000"/>
    <n v="1.8744037053212446"/>
    <n v="533.50300000000004"/>
    <x v="3"/>
    <s v="P29-S-D1"/>
    <s v="PALF"/>
    <s v="OAT"/>
    <s v="CONGO"/>
    <m/>
    <m/>
    <m/>
  </r>
  <r>
    <d v="2025-09-16T00:00:00"/>
    <s v="Taxi tsila-mont fleury,reperage"/>
    <x v="0"/>
    <x v="3"/>
    <n v="1000"/>
    <n v="1.8744037053212446"/>
    <n v="533.50300000000004"/>
    <x v="3"/>
    <s v="P29-S-D1"/>
    <s v="PALF"/>
    <s v="OAT"/>
    <s v="CONGO"/>
    <m/>
    <m/>
    <m/>
  </r>
  <r>
    <d v="2025-09-16T00:00:00"/>
    <s v="Taxi mon fleury-hotel"/>
    <x v="0"/>
    <x v="3"/>
    <n v="1000"/>
    <n v="1.8744037053212446"/>
    <n v="533.50300000000004"/>
    <x v="3"/>
    <s v="P29-S-D1"/>
    <s v="PALF"/>
    <s v="OAT"/>
    <s v="CONGO"/>
    <m/>
    <m/>
    <m/>
  </r>
  <r>
    <d v="2025-09-16T00:00:00"/>
    <s v="Taxi : hotel - zone gare routière ( reperage)"/>
    <x v="0"/>
    <x v="3"/>
    <n v="1000"/>
    <n v="1.8744037053212446"/>
    <n v="533.50300000000004"/>
    <x v="4"/>
    <s v="T73-S-D1"/>
    <s v="PALF"/>
    <s v="OAT"/>
    <s v="CONGO"/>
    <m/>
    <m/>
    <m/>
  </r>
  <r>
    <d v="2025-09-16T00:00:00"/>
    <s v="Taxi : zone gare routière - centre ville ( reperage)"/>
    <x v="0"/>
    <x v="3"/>
    <n v="1000"/>
    <n v="1.8744037053212446"/>
    <n v="533.50300000000004"/>
    <x v="4"/>
    <s v="T73-S-D1"/>
    <s v="PALF"/>
    <s v="OAT"/>
    <s v="CONGO"/>
    <m/>
    <m/>
    <m/>
  </r>
  <r>
    <d v="2025-09-16T00:00:00"/>
    <s v="Taxi : centre ville - quartier mangadzi ( reperage)"/>
    <x v="0"/>
    <x v="3"/>
    <n v="1000"/>
    <n v="1.8744037053212446"/>
    <n v="533.50300000000004"/>
    <x v="4"/>
    <s v="T73-S-D1"/>
    <s v="PALF"/>
    <s v="OAT"/>
    <s v="CONGO"/>
    <m/>
    <m/>
    <m/>
  </r>
  <r>
    <d v="2025-09-16T00:00:00"/>
    <s v="Taxi : centre ville - quartier mangadzi ( reperage)"/>
    <x v="0"/>
    <x v="3"/>
    <n v="1000"/>
    <n v="1.8744037053212446"/>
    <n v="533.50300000000004"/>
    <x v="4"/>
    <s v="T73-S-D1"/>
    <s v="PALF"/>
    <s v="OAT"/>
    <s v="CONGO"/>
    <m/>
    <m/>
    <m/>
  </r>
  <r>
    <d v="2025-09-16T00:00:00"/>
    <s v="Taxi : quartier mangadzi - lissanga ( reperage)"/>
    <x v="0"/>
    <x v="3"/>
    <n v="1000"/>
    <n v="1.8744037053212446"/>
    <n v="533.50300000000004"/>
    <x v="4"/>
    <s v="T73-S-D1"/>
    <s v="PALF"/>
    <s v="OAT"/>
    <s v="CONGO"/>
    <m/>
    <m/>
    <m/>
  </r>
  <r>
    <d v="2025-09-16T00:00:00"/>
    <s v="Taxi : lissanga - hotel ( reperage)"/>
    <x v="0"/>
    <x v="3"/>
    <n v="1000"/>
    <n v="1.8744037053212446"/>
    <n v="533.50300000000004"/>
    <x v="4"/>
    <s v="T73-S-D1"/>
    <s v="PALF"/>
    <s v="OAT"/>
    <s v="CONGO"/>
    <m/>
    <m/>
    <m/>
  </r>
  <r>
    <d v="2025-09-16T00:00:00"/>
    <s v="Taxi : Domicile - Moungali/ Prospection"/>
    <x v="0"/>
    <x v="3"/>
    <n v="2500"/>
    <n v="4.6860092633031112"/>
    <n v="533.50300000000004"/>
    <x v="5"/>
    <s v="IT87-S-D1"/>
    <s v="PALF"/>
    <s v="OAT"/>
    <s v="CONGO"/>
    <m/>
    <m/>
    <m/>
  </r>
  <r>
    <d v="2025-09-16T00:00:00"/>
    <s v="Taxi : Moungali - Poudrière/ Prospection"/>
    <x v="0"/>
    <x v="3"/>
    <n v="1500"/>
    <n v="2.8116055579818666"/>
    <n v="533.50300000000004"/>
    <x v="5"/>
    <s v="IT87-S-D1"/>
    <s v="PALF"/>
    <s v="OAT"/>
    <s v="CONGO"/>
    <m/>
    <m/>
    <m/>
  </r>
  <r>
    <d v="2025-09-16T00:00:00"/>
    <s v="Taxi : Poudrière - Maëté/ Prospection"/>
    <x v="0"/>
    <x v="3"/>
    <n v="1500"/>
    <n v="2.8116055579818666"/>
    <n v="533.50300000000004"/>
    <x v="5"/>
    <s v="IT87-S-D1"/>
    <s v="PALF"/>
    <s v="OAT"/>
    <s v="CONGO"/>
    <m/>
    <m/>
    <m/>
  </r>
  <r>
    <d v="2025-09-16T00:00:00"/>
    <s v="Taxi : Maëté - Domicile/ Retour de prospection"/>
    <x v="0"/>
    <x v="3"/>
    <n v="2000"/>
    <n v="3.7488074106424891"/>
    <n v="533.50300000000004"/>
    <x v="5"/>
    <s v="IT87-S-D1"/>
    <s v="PALF"/>
    <s v="OAT"/>
    <s v="CONGO"/>
    <m/>
    <m/>
    <m/>
  </r>
  <r>
    <d v="2025-09-16T00:00:00"/>
    <s v="Taxi:   Domicile - Château d'eau / prospection"/>
    <x v="0"/>
    <x v="3"/>
    <n v="1000"/>
    <n v="1.8744037053212446"/>
    <n v="533.50300000000004"/>
    <x v="6"/>
    <s v="G12-S-D1"/>
    <s v="PALF"/>
    <s v="OAT"/>
    <s v="CONGO"/>
    <m/>
    <m/>
    <m/>
  </r>
  <r>
    <d v="2025-09-16T00:00:00"/>
    <s v="Taxi : Château d'eau - kisoundi/ prospection"/>
    <x v="0"/>
    <x v="3"/>
    <n v="1000"/>
    <n v="1.8744037053212446"/>
    <n v="533.50300000000004"/>
    <x v="6"/>
    <s v="G12-S-D1"/>
    <s v="PALF"/>
    <s v="OAT"/>
    <s v="CONGO"/>
    <m/>
    <m/>
    <m/>
  </r>
  <r>
    <d v="2025-09-16T00:00:00"/>
    <s v="Taxi : Kisoundi -domicile"/>
    <x v="0"/>
    <x v="3"/>
    <n v="1000"/>
    <n v="1.8744037053212446"/>
    <n v="533.50300000000004"/>
    <x v="6"/>
    <s v="G12-S-D1"/>
    <s v="PALF"/>
    <s v="OAT"/>
    <s v="CONGO"/>
    <m/>
    <m/>
    <m/>
  </r>
  <r>
    <d v="2025-09-16T00:00:00"/>
    <s v="Taxi: Bureau-Cabinet Maitre BANZOUZI"/>
    <x v="0"/>
    <x v="1"/>
    <n v="1500"/>
    <n v="2.8116055579818666"/>
    <n v="533.50300000000004"/>
    <x v="11"/>
    <s v="RM-S-D1"/>
    <s v="PALF"/>
    <s v="OAT"/>
    <s v="CONGO"/>
    <m/>
    <m/>
    <m/>
  </r>
  <r>
    <d v="2025-09-16T00:00:00"/>
    <s v="Taxi:Cabinet de Maitre BANZOUZI-Bureau"/>
    <x v="0"/>
    <x v="1"/>
    <n v="4000"/>
    <n v="7.4976148212849782"/>
    <n v="533.50300000000004"/>
    <x v="11"/>
    <s v="RM-S-D1"/>
    <s v="PALF"/>
    <s v="OAT"/>
    <s v="CONGO"/>
    <m/>
    <m/>
    <m/>
  </r>
  <r>
    <d v="2025-09-16T00:00:00"/>
    <s v="Acompte honoraire contrat N°85 Impfondo cas MOUKOA Clarisse/Maitre  Alain BAZOUNZI/ 3654434"/>
    <x v="5"/>
    <x v="1"/>
    <n v="200000"/>
    <n v="356.54310071272965"/>
    <n v="560.94200000000001"/>
    <x v="12"/>
    <s v="BQ-S-R5"/>
    <s v="PALF"/>
    <s v="Wildcat 2025"/>
    <s v="CONGO"/>
    <m/>
    <m/>
    <m/>
  </r>
  <r>
    <d v="2025-09-17T00:00:00"/>
    <s v="Maison-Parc Zoologique (rendez vous avec le nouveau avec DGEF)"/>
    <x v="0"/>
    <x v="0"/>
    <n v="1000"/>
    <n v="1.8744037053212446"/>
    <n v="533.50300000000004"/>
    <x v="0"/>
    <s v="DH-S-D1"/>
    <s v="PALF"/>
    <s v="OAT"/>
    <s v="CONGO"/>
    <m/>
    <m/>
    <m/>
  </r>
  <r>
    <d v="2025-09-17T00:00:00"/>
    <s v="Parc Zoologique - Bureau"/>
    <x v="0"/>
    <x v="0"/>
    <n v="1000"/>
    <n v="1.8744037053212446"/>
    <n v="533.50300000000004"/>
    <x v="0"/>
    <s v="DH-S-D1"/>
    <s v="PALF"/>
    <s v="OAT"/>
    <s v="CONGO"/>
    <m/>
    <m/>
    <m/>
  </r>
  <r>
    <d v="2025-09-17T00:00:00"/>
    <s v="Credit telephonique MTN/PALF/ du 15 au 21 Septembre 2025/DOVI"/>
    <x v="1"/>
    <x v="0"/>
    <n v="12500"/>
    <n v="23.430046316515558"/>
    <n v="533.50300000000004"/>
    <x v="0"/>
    <s v="DH-S-R4"/>
    <s v="PALF"/>
    <s v="OAT"/>
    <s v="CONGO"/>
    <m/>
    <m/>
    <m/>
  </r>
  <r>
    <d v="2025-09-17T00:00:00"/>
    <s v="Bureau - Maison"/>
    <x v="0"/>
    <x v="0"/>
    <n v="1000"/>
    <n v="1.8744037053212446"/>
    <n v="533.50300000000004"/>
    <x v="0"/>
    <s v="DH-S-D1"/>
    <s v="PALF"/>
    <s v="OAT"/>
    <s v="CONGO"/>
    <m/>
    <m/>
    <m/>
  </r>
  <r>
    <d v="2025-09-17T00:00:00"/>
    <s v="Credit telephonique MTN PALF/du 17 au 21 septembre 2025/ crepin"/>
    <x v="1"/>
    <x v="1"/>
    <n v="10000"/>
    <n v="18.744037053212445"/>
    <n v="533.50300000000004"/>
    <x v="1"/>
    <s v="CR-S-R10"/>
    <s v="PALF"/>
    <s v="OAT"/>
    <s v="CONGO"/>
    <m/>
    <m/>
    <m/>
  </r>
  <r>
    <d v="2025-09-17T00:00:00"/>
    <s v="Bonus opération du 25/08/2025 à Impfondo/Crépin"/>
    <x v="13"/>
    <x v="5"/>
    <n v="35000"/>
    <n v="62.395042624727687"/>
    <n v="560.94200000000001"/>
    <x v="1"/>
    <s v="CA-S-D5"/>
    <s v="PALF"/>
    <s v="Wildcat 2025"/>
    <s v="CONGO"/>
    <m/>
    <m/>
    <m/>
  </r>
  <r>
    <d v="2025-09-17T00:00:00"/>
    <s v="Taxi:Bureau - Direction MTN / Achat crédit bureau PALF"/>
    <x v="0"/>
    <x v="2"/>
    <n v="1000"/>
    <n v="1.8744037053212446"/>
    <n v="533.50300000000004"/>
    <x v="2"/>
    <s v="P-S-D1"/>
    <s v="PALF"/>
    <s v="OAT"/>
    <s v="CONGO"/>
    <m/>
    <m/>
    <m/>
  </r>
  <r>
    <d v="2025-09-17T00:00:00"/>
    <s v="Taxi: Direction MTN-Bureau/"/>
    <x v="0"/>
    <x v="2"/>
    <n v="1000"/>
    <n v="1.8744037053212446"/>
    <n v="533.50300000000004"/>
    <x v="2"/>
    <s v="P-S-D1"/>
    <s v="PALF"/>
    <s v="OAT"/>
    <s v="CONGO"/>
    <m/>
    <m/>
    <m/>
  </r>
  <r>
    <d v="2025-09-17T00:00:00"/>
    <s v="Credit teléphonique MTN PALF/ du 15 au 21 septembre 2025/ Parfaite"/>
    <x v="1"/>
    <x v="0"/>
    <n v="7500"/>
    <n v="14.058027789909334"/>
    <n v="533.50300000000004"/>
    <x v="2"/>
    <s v="P-S-R3"/>
    <s v="PALF"/>
    <s v="OAT"/>
    <s v="CONGO"/>
    <m/>
    <m/>
    <m/>
  </r>
  <r>
    <d v="2025-09-17T00:00:00"/>
    <s v="Taxi hotel-mon fleury,reperage"/>
    <x v="0"/>
    <x v="3"/>
    <n v="1000"/>
    <n v="1.8744037053212446"/>
    <n v="533.50300000000004"/>
    <x v="3"/>
    <s v="P29-S-D1"/>
    <s v="PALF"/>
    <s v="OAT"/>
    <s v="CONGO"/>
    <m/>
    <m/>
    <m/>
  </r>
  <r>
    <d v="2025-09-17T00:00:00"/>
    <s v="Taxi hotel-mboukou,reperage"/>
    <x v="0"/>
    <x v="3"/>
    <n v="1000"/>
    <n v="1.8744037053212446"/>
    <n v="533.50300000000004"/>
    <x v="3"/>
    <s v="P29-S-D1"/>
    <s v="PALF"/>
    <s v="OAT"/>
    <s v="CONGO"/>
    <m/>
    <m/>
    <m/>
  </r>
  <r>
    <d v="2025-09-17T00:00:00"/>
    <s v="Taxi mboukou-hotel,faire le bugdet"/>
    <x v="0"/>
    <x v="3"/>
    <n v="1000"/>
    <n v="1.8744037053212446"/>
    <n v="533.50300000000004"/>
    <x v="3"/>
    <s v="P29-S-D1"/>
    <s v="PALF"/>
    <s v="OAT"/>
    <s v="CONGO"/>
    <m/>
    <m/>
    <m/>
  </r>
  <r>
    <d v="2025-09-17T00:00:00"/>
    <s v="Taxi hotel-mboukou,reperage"/>
    <x v="0"/>
    <x v="3"/>
    <n v="1000"/>
    <n v="1.8744037053212446"/>
    <n v="533.50300000000004"/>
    <x v="3"/>
    <s v="P29-S-D1"/>
    <s v="PALF"/>
    <s v="OAT"/>
    <s v="CONGO"/>
    <m/>
    <m/>
    <m/>
  </r>
  <r>
    <d v="2025-09-17T00:00:00"/>
    <s v="Taxi mboukou-hotel"/>
    <x v="0"/>
    <x v="3"/>
    <n v="1000"/>
    <n v="1.8744037053212446"/>
    <n v="533.50300000000004"/>
    <x v="3"/>
    <s v="P29-S-D1"/>
    <s v="PALF"/>
    <s v="OAT"/>
    <s v="CONGO"/>
    <m/>
    <m/>
    <m/>
  </r>
  <r>
    <d v="2025-09-17T00:00:00"/>
    <s v="Achat boisson,pour prendre détails reperage, avec un cible"/>
    <x v="11"/>
    <x v="3"/>
    <n v="1000"/>
    <n v="1.8744037053212446"/>
    <n v="533.50300000000004"/>
    <x v="3"/>
    <s v="P29-S-D3"/>
    <s v="PALF"/>
    <s v="OAT"/>
    <s v="CONGO"/>
    <m/>
    <m/>
    <m/>
  </r>
  <r>
    <d v="2025-09-17T00:00:00"/>
    <s v="Credit telephonique MTN PALF/ du 15 au 21 Septembre 2025/ Investigation/P29"/>
    <x v="1"/>
    <x v="3"/>
    <n v="10000"/>
    <n v="18.744037053212445"/>
    <n v="533.50300000000004"/>
    <x v="3"/>
    <s v="P29-S-R9"/>
    <s v="PALF"/>
    <s v="OAT"/>
    <s v="CONGO"/>
    <m/>
    <m/>
    <m/>
  </r>
  <r>
    <d v="2025-09-17T00:00:00"/>
    <s v="Taxi : hotel - parking de Bounkou"/>
    <x v="0"/>
    <x v="3"/>
    <n v="1000"/>
    <n v="1.8744037053212446"/>
    <n v="533.50300000000004"/>
    <x v="4"/>
    <s v="T73-S-D1"/>
    <s v="PALF"/>
    <s v="OAT"/>
    <s v="CONGO"/>
    <m/>
    <m/>
    <m/>
  </r>
  <r>
    <d v="2025-09-17T00:00:00"/>
    <s v="Achat billet : Dolisie - Kimongo/ T73"/>
    <x v="0"/>
    <x v="3"/>
    <n v="6000"/>
    <n v="11.246422231927466"/>
    <n v="533.50300000000004"/>
    <x v="4"/>
    <s v="T73-S-R7"/>
    <s v="PALF"/>
    <s v="OAT"/>
    <s v="CONGO"/>
    <m/>
    <m/>
    <m/>
  </r>
  <r>
    <d v="2025-09-17T00:00:00"/>
    <s v="taxi moto : parking - marché de kimogo ( prospection)"/>
    <x v="0"/>
    <x v="3"/>
    <n v="1000"/>
    <n v="1.8744037053212446"/>
    <n v="533.50300000000004"/>
    <x v="4"/>
    <s v="T73-S-D1"/>
    <s v="PALF"/>
    <s v="OAT"/>
    <s v="CONGO"/>
    <m/>
    <m/>
    <m/>
  </r>
  <r>
    <d v="2025-09-17T00:00:00"/>
    <s v="taxi moto :  marché de kimogo - parking retour sur dolisie)"/>
    <x v="0"/>
    <x v="3"/>
    <n v="1000"/>
    <n v="1.8744037053212446"/>
    <n v="533.50300000000004"/>
    <x v="4"/>
    <s v="T73-S-D1"/>
    <s v="PALF"/>
    <s v="OAT"/>
    <s v="CONGO"/>
    <m/>
    <m/>
    <m/>
  </r>
  <r>
    <d v="2025-09-17T00:00:00"/>
    <s v="Achat billet : Kimongo - Dolisie/T73"/>
    <x v="0"/>
    <x v="3"/>
    <n v="6000"/>
    <n v="11.246422231927466"/>
    <n v="533.50300000000004"/>
    <x v="4"/>
    <s v="T73-S-R8"/>
    <s v="PALF"/>
    <s v="OAT"/>
    <s v="CONGO"/>
    <m/>
    <m/>
    <m/>
  </r>
  <r>
    <d v="2025-09-17T00:00:00"/>
    <s v="achat boisson/une cible"/>
    <x v="11"/>
    <x v="3"/>
    <n v="1500"/>
    <n v="2.8116055579818666"/>
    <n v="533.50300000000004"/>
    <x v="4"/>
    <s v="T73-S-D3"/>
    <s v="PALF"/>
    <s v="OAT"/>
    <s v="CONGO"/>
    <m/>
    <m/>
    <m/>
  </r>
  <r>
    <d v="2025-09-17T00:00:00"/>
    <s v="Credit telephonique MTN PALF/ du 15 au 21 septembre 2025/ Investigation/T73"/>
    <x v="1"/>
    <x v="3"/>
    <n v="10000"/>
    <n v="18.744037053212445"/>
    <n v="533.50300000000004"/>
    <x v="4"/>
    <s v="T73-S-R9"/>
    <s v="PALF"/>
    <s v="OAT"/>
    <s v="CONGO"/>
    <m/>
    <m/>
    <m/>
  </r>
  <r>
    <d v="2025-09-17T00:00:00"/>
    <s v="Taxi : Bureau - PK/ Prospection"/>
    <x v="0"/>
    <x v="3"/>
    <n v="2000"/>
    <n v="3.7488074106424891"/>
    <n v="533.50300000000004"/>
    <x v="5"/>
    <s v="IT87-S-D1"/>
    <s v="PALF"/>
    <s v="OAT"/>
    <s v="CONGO"/>
    <m/>
    <m/>
    <m/>
  </r>
  <r>
    <d v="2025-09-17T00:00:00"/>
    <s v="Taxi : PK - Kinsoundi/ Prospection"/>
    <x v="0"/>
    <x v="3"/>
    <n v="1000"/>
    <n v="1.8744037053212446"/>
    <n v="533.50300000000004"/>
    <x v="5"/>
    <s v="IT87-S-D1"/>
    <s v="PALF"/>
    <s v="OAT"/>
    <s v="CONGO"/>
    <m/>
    <m/>
    <m/>
  </r>
  <r>
    <d v="2025-09-17T00:00:00"/>
    <s v="Taxi : Kinsoundi - Domicile/ Retour de prospection"/>
    <x v="0"/>
    <x v="3"/>
    <n v="1500"/>
    <n v="2.8116055579818666"/>
    <n v="533.50300000000004"/>
    <x v="5"/>
    <s v="IT87-S-D1"/>
    <s v="PALF"/>
    <s v="OAT"/>
    <s v="CONGO"/>
    <m/>
    <m/>
    <m/>
  </r>
  <r>
    <d v="2025-09-17T00:00:00"/>
    <s v="Credit telephonique MTN PALF/du 15 au 21 septembre 2025/IT87"/>
    <x v="1"/>
    <x v="3"/>
    <n v="10000"/>
    <n v="18.744037053212445"/>
    <n v="533.50300000000004"/>
    <x v="5"/>
    <s v="IT87-S-R10"/>
    <s v="PALF"/>
    <s v="OAT"/>
    <s v="CONGO"/>
    <m/>
    <m/>
    <m/>
  </r>
  <r>
    <d v="2025-09-17T00:00:00"/>
    <s v="Taxi: Domicile - mayanga / prospection"/>
    <x v="0"/>
    <x v="3"/>
    <n v="1500"/>
    <n v="2.8116055579818666"/>
    <n v="533.50300000000004"/>
    <x v="6"/>
    <s v="G12-S-D1"/>
    <s v="PALF"/>
    <s v="OAT"/>
    <s v="CONGO"/>
    <m/>
    <m/>
    <m/>
  </r>
  <r>
    <d v="2025-09-17T00:00:00"/>
    <s v="Taxi: Mayanga - nganga lingolo /prospection"/>
    <x v="0"/>
    <x v="3"/>
    <n v="1500"/>
    <n v="2.8116055579818666"/>
    <n v="533.50300000000004"/>
    <x v="6"/>
    <s v="G12-S-D1"/>
    <s v="PALF"/>
    <s v="OAT"/>
    <s v="CONGO"/>
    <m/>
    <m/>
    <m/>
  </r>
  <r>
    <d v="2025-09-17T00:00:00"/>
    <s v="Taxi : Nganga lingolo - domicile"/>
    <x v="0"/>
    <x v="3"/>
    <n v="2000"/>
    <n v="3.7488074106424891"/>
    <n v="533.50300000000004"/>
    <x v="6"/>
    <s v="G12-S-D1"/>
    <s v="PALF"/>
    <s v="OAT"/>
    <s v="CONGO"/>
    <m/>
    <m/>
    <m/>
  </r>
  <r>
    <d v="2025-09-17T00:00:00"/>
    <s v="Credit telephonique MTN PALF/du 15 au 21 septembre 2025/G12"/>
    <x v="1"/>
    <x v="3"/>
    <n v="10000"/>
    <n v="18.744037053212445"/>
    <n v="533.50300000000004"/>
    <x v="6"/>
    <s v="G12-S-R3"/>
    <s v="PALF"/>
    <s v="OAT"/>
    <s v="CONGO"/>
    <m/>
    <m/>
    <m/>
  </r>
  <r>
    <d v="2025-09-17T00:00:00"/>
    <s v="Credit telephonique MTN PALF/ du 15 au 21 septembre 2025/Abraham"/>
    <x v="1"/>
    <x v="1"/>
    <n v="7500"/>
    <n v="14.058027789909334"/>
    <n v="533.50300000000004"/>
    <x v="7"/>
    <s v="AB-S-R3"/>
    <s v="PALF"/>
    <s v="OAT"/>
    <s v="CONGO"/>
    <m/>
    <m/>
    <m/>
  </r>
  <r>
    <d v="2025-09-17T00:00:00"/>
    <s v="Credit telephonique MTN PALF/du 15 au 21 Septembre 2025/Roderlin"/>
    <x v="1"/>
    <x v="1"/>
    <n v="7500"/>
    <n v="14.058027789909334"/>
    <n v="533.50300000000004"/>
    <x v="8"/>
    <s v="RO-S-R7"/>
    <s v="PALF"/>
    <s v="OAT"/>
    <s v="CONGO"/>
    <m/>
    <m/>
    <m/>
  </r>
  <r>
    <d v="2025-09-17T00:00:00"/>
    <s v="Credit telephonique MTN PALF/ du 15 au 21 septembre 2025"/>
    <x v="1"/>
    <x v="1"/>
    <n v="10000"/>
    <n v="18.744037053212445"/>
    <n v="533.50300000000004"/>
    <x v="9"/>
    <s v="DR-S-R7"/>
    <s v="PALF"/>
    <s v="OAT"/>
    <s v="CONGO"/>
    <m/>
    <m/>
    <m/>
  </r>
  <r>
    <d v="2025-09-17T00:00:00"/>
    <s v="Credit telephonique MTN PALF/du 15 au 21 septembre 2025/ Evariste"/>
    <x v="1"/>
    <x v="4"/>
    <n v="10000"/>
    <n v="18.744037053212445"/>
    <n v="533.50300000000004"/>
    <x v="10"/>
    <s v="EV-S-R8"/>
    <s v="PALF"/>
    <s v="OAT"/>
    <s v="CONGO"/>
    <m/>
    <m/>
    <m/>
  </r>
  <r>
    <d v="2025-09-17T00:00:00"/>
    <s v="Credit telephonique MTN PALF/du 15 au 21 Septembre 2025/Romain"/>
    <x v="1"/>
    <x v="1"/>
    <n v="7500"/>
    <n v="14.058027789909334"/>
    <n v="533.50300000000004"/>
    <x v="11"/>
    <s v="RM-S-R3"/>
    <s v="PALF"/>
    <s v="OAT"/>
    <s v="CONGO"/>
    <m/>
    <m/>
    <m/>
  </r>
  <r>
    <d v="2025-09-18T00:00:00"/>
    <s v="Maison-Bureau"/>
    <x v="0"/>
    <x v="0"/>
    <n v="1000"/>
    <n v="1.8744037053212446"/>
    <n v="533.50300000000004"/>
    <x v="0"/>
    <s v="DH-S-D1"/>
    <s v="PALF"/>
    <s v="OAT"/>
    <s v="CONGO"/>
    <m/>
    <m/>
    <m/>
  </r>
  <r>
    <d v="2025-09-18T00:00:00"/>
    <s v="Bureau-Maison"/>
    <x v="0"/>
    <x v="0"/>
    <n v="1000"/>
    <n v="1.8744037053212446"/>
    <n v="533.50300000000004"/>
    <x v="0"/>
    <s v="DH-S-D1"/>
    <s v="PALF"/>
    <s v="OAT"/>
    <s v="CONGO"/>
    <m/>
    <m/>
    <m/>
  </r>
  <r>
    <d v="2025-09-18T00:00:00"/>
    <s v="Taxi: Bureau - Charden Farell/transfert d'argent à P29 et T73"/>
    <x v="0"/>
    <x v="2"/>
    <n v="500"/>
    <n v="0.93720185266062228"/>
    <n v="533.50300000000004"/>
    <x v="2"/>
    <s v="P-S-D1"/>
    <s v="PALF"/>
    <s v="OAT"/>
    <s v="CONGO"/>
    <m/>
    <m/>
    <m/>
  </r>
  <r>
    <d v="2025-09-18T00:00:00"/>
    <s v="Taxi: Charden Farell- Bureau"/>
    <x v="0"/>
    <x v="2"/>
    <n v="500"/>
    <n v="0.93720185266062228"/>
    <n v="533.50300000000004"/>
    <x v="2"/>
    <s v="P-S-D1"/>
    <s v="PALF"/>
    <s v="OAT"/>
    <s v="CONGO"/>
    <m/>
    <m/>
    <m/>
  </r>
  <r>
    <d v="2025-09-18T00:00:00"/>
    <s v="Frais de tansfert d'argent à T73 et P29"/>
    <x v="3"/>
    <x v="2"/>
    <n v="7200"/>
    <n v="13.49570667831296"/>
    <n v="533.50300000000004"/>
    <x v="2"/>
    <s v="CA-S-R14"/>
    <s v="PALF"/>
    <s v="OAT"/>
    <s v="CONGO"/>
    <m/>
    <m/>
    <m/>
  </r>
  <r>
    <d v="2025-09-18T00:00:00"/>
    <s v="Taxi hotel-mboukou,prendre détails au lieu op"/>
    <x v="0"/>
    <x v="3"/>
    <n v="1500"/>
    <n v="2.8116055579818666"/>
    <n v="533.50300000000004"/>
    <x v="3"/>
    <s v="P29-S-D1"/>
    <s v="PALF"/>
    <s v="OAT"/>
    <s v="CONGO"/>
    <m/>
    <m/>
    <m/>
  </r>
  <r>
    <d v="2025-09-18T00:00:00"/>
    <s v="Taxi mboukou -hotel"/>
    <x v="0"/>
    <x v="3"/>
    <n v="1000"/>
    <n v="1.8744037053212446"/>
    <n v="533.50300000000004"/>
    <x v="3"/>
    <s v="P29-S-D1"/>
    <s v="PALF"/>
    <s v="OAT"/>
    <s v="CONGO"/>
    <m/>
    <m/>
    <m/>
  </r>
  <r>
    <d v="2025-09-18T00:00:00"/>
    <s v="Taxi hotel-cf centre ville,pas de fonds disponible"/>
    <x v="0"/>
    <x v="3"/>
    <n v="1000"/>
    <n v="1.8744037053212446"/>
    <n v="533.50300000000004"/>
    <x v="3"/>
    <s v="P29-S-D1"/>
    <s v="PALF"/>
    <s v="OAT"/>
    <s v="CONGO"/>
    <m/>
    <m/>
    <m/>
  </r>
  <r>
    <d v="2025-09-18T00:00:00"/>
    <s v="Taxi cf cv-cf marché,retrait des fonds"/>
    <x v="0"/>
    <x v="3"/>
    <n v="1000"/>
    <n v="1.8744037053212446"/>
    <n v="533.50300000000004"/>
    <x v="3"/>
    <s v="P29-S-D1"/>
    <s v="PALF"/>
    <s v="OAT"/>
    <s v="CONGO"/>
    <m/>
    <m/>
    <m/>
  </r>
  <r>
    <d v="2025-09-18T00:00:00"/>
    <s v="Taxi cf-hotel"/>
    <x v="0"/>
    <x v="3"/>
    <n v="1000"/>
    <n v="1.8744037053212446"/>
    <n v="533.50300000000004"/>
    <x v="3"/>
    <s v="P29-S-D1"/>
    <s v="PALF"/>
    <s v="OAT"/>
    <s v="CONGO"/>
    <m/>
    <m/>
    <m/>
  </r>
  <r>
    <d v="2025-09-18T00:00:00"/>
    <s v="Taxi : hotel - gare routière"/>
    <x v="0"/>
    <x v="3"/>
    <n v="1000"/>
    <n v="1.8744037053212446"/>
    <n v="533.50300000000004"/>
    <x v="4"/>
    <s v="T73-S-D1"/>
    <s v="PALF"/>
    <s v="OAT"/>
    <s v="CONGO"/>
    <m/>
    <m/>
    <m/>
  </r>
  <r>
    <d v="2025-09-18T00:00:00"/>
    <s v="Taxi : gare routière - village mokondo ( prospection)"/>
    <x v="0"/>
    <x v="3"/>
    <n v="1000"/>
    <n v="1.8744037053212446"/>
    <n v="533.50300000000004"/>
    <x v="4"/>
    <s v="T73-S-D1"/>
    <s v="PALF"/>
    <s v="OAT"/>
    <s v="CONGO"/>
    <m/>
    <m/>
    <m/>
  </r>
  <r>
    <d v="2025-09-18T00:00:00"/>
    <s v="Taxi : village moikondo - gare routière ( prospection)"/>
    <x v="0"/>
    <x v="3"/>
    <n v="1000"/>
    <n v="1.8744037053212446"/>
    <n v="533.50300000000004"/>
    <x v="4"/>
    <s v="T73-S-D1"/>
    <s v="PALF"/>
    <s v="OAT"/>
    <s v="CONGO"/>
    <m/>
    <m/>
    <m/>
  </r>
  <r>
    <d v="2025-09-18T00:00:00"/>
    <s v="Taxi : gare routière - charden farrel( prospection)"/>
    <x v="0"/>
    <x v="3"/>
    <n v="1000"/>
    <n v="1.8744037053212446"/>
    <n v="533.50300000000004"/>
    <x v="4"/>
    <s v="T73-S-D1"/>
    <s v="PALF"/>
    <s v="OAT"/>
    <s v="CONGO"/>
    <m/>
    <m/>
    <m/>
  </r>
  <r>
    <d v="2025-09-18T00:00:00"/>
    <s v="Taxi : charden farrel - hotel(fin de journée)"/>
    <x v="0"/>
    <x v="3"/>
    <n v="1000"/>
    <n v="1.8744037053212446"/>
    <n v="533.50300000000004"/>
    <x v="4"/>
    <s v="T73-S-D1"/>
    <s v="PALF"/>
    <s v="OAT"/>
    <s v="CONGO"/>
    <m/>
    <m/>
    <m/>
  </r>
  <r>
    <d v="2025-09-18T00:00:00"/>
    <s v="achat boisson a une cibles"/>
    <x v="11"/>
    <x v="3"/>
    <n v="2000"/>
    <n v="3.7488074106424891"/>
    <n v="533.50300000000004"/>
    <x v="4"/>
    <s v="T73-S-D3"/>
    <s v="PALF"/>
    <s v="OAT"/>
    <s v="CONGO"/>
    <m/>
    <m/>
    <m/>
  </r>
  <r>
    <d v="2025-09-18T00:00:00"/>
    <s v="Taxi : Domicile - Total/ Prospection"/>
    <x v="0"/>
    <x v="3"/>
    <n v="2000"/>
    <n v="3.7488074106424891"/>
    <n v="533.50300000000004"/>
    <x v="5"/>
    <s v="IT87-S-D1"/>
    <s v="PALF"/>
    <s v="OAT"/>
    <s v="CONGO"/>
    <m/>
    <m/>
    <m/>
  </r>
  <r>
    <d v="2025-09-18T00:00:00"/>
    <s v="Taxi : Total - Nganga Lingolo/ Prospection"/>
    <x v="0"/>
    <x v="3"/>
    <n v="2500"/>
    <n v="4.6860092633031112"/>
    <n v="533.50300000000004"/>
    <x v="5"/>
    <s v="IT87-S-D1"/>
    <s v="PALF"/>
    <s v="OAT"/>
    <s v="CONGO"/>
    <m/>
    <m/>
    <m/>
  </r>
  <r>
    <d v="2025-09-18T00:00:00"/>
    <s v="Taxi : Nganga Lingolo - Madibou/ Prospection"/>
    <x v="0"/>
    <x v="3"/>
    <n v="1500"/>
    <n v="2.8116055579818666"/>
    <n v="533.50300000000004"/>
    <x v="5"/>
    <s v="IT87-S-D1"/>
    <s v="PALF"/>
    <s v="OAT"/>
    <s v="CONGO"/>
    <m/>
    <m/>
    <m/>
  </r>
  <r>
    <d v="2025-09-18T00:00:00"/>
    <s v="Taxi : Madibou  - Domicile/ Retour de prospection"/>
    <x v="0"/>
    <x v="3"/>
    <n v="2500"/>
    <n v="4.6860092633031112"/>
    <n v="533.50300000000004"/>
    <x v="5"/>
    <s v="IT87-S-D1"/>
    <s v="PALF"/>
    <s v="OAT"/>
    <s v="CONGO"/>
    <m/>
    <m/>
    <m/>
  </r>
  <r>
    <d v="2025-09-18T00:00:00"/>
    <s v="Taxi : Domicile - marché poto poto / prospection"/>
    <x v="0"/>
    <x v="3"/>
    <n v="1000"/>
    <n v="1.8744037053212446"/>
    <n v="533.50300000000004"/>
    <x v="6"/>
    <s v="G12-S-D1"/>
    <s v="PALF"/>
    <s v="OAT"/>
    <s v="CONGO"/>
    <m/>
    <m/>
    <m/>
  </r>
  <r>
    <d v="2025-09-18T00:00:00"/>
    <s v="Taxi: Marché poto poto - congo pharmacie/ prospection"/>
    <x v="0"/>
    <x v="3"/>
    <n v="1000"/>
    <n v="1.8744037053212446"/>
    <n v="533.50300000000004"/>
    <x v="6"/>
    <s v="G12-S-D1"/>
    <s v="PALF"/>
    <s v="OAT"/>
    <s v="CONGO"/>
    <m/>
    <m/>
    <m/>
  </r>
  <r>
    <d v="2025-09-18T00:00:00"/>
    <s v="Taxi: Congo pharmacie - marché bacongo/ prospection"/>
    <x v="0"/>
    <x v="3"/>
    <n v="1000"/>
    <n v="1.8744037053212446"/>
    <n v="533.50300000000004"/>
    <x v="6"/>
    <s v="G12-S-D1"/>
    <s v="PALF"/>
    <s v="OAT"/>
    <s v="CONGO"/>
    <m/>
    <m/>
    <m/>
  </r>
  <r>
    <d v="2025-09-18T00:00:00"/>
    <s v="Taxi : Marché bacongo - domicile"/>
    <x v="0"/>
    <x v="3"/>
    <n v="1000"/>
    <n v="1.8744037053212446"/>
    <n v="533.50300000000004"/>
    <x v="6"/>
    <s v="G12-S-D1"/>
    <s v="PALF"/>
    <s v="OAT"/>
    <s v="CONGO"/>
    <m/>
    <m/>
    <m/>
  </r>
  <r>
    <d v="2025-09-18T00:00:00"/>
    <s v="Taxi: Bureau-Cabinet Me. BANZOUZI"/>
    <x v="0"/>
    <x v="1"/>
    <n v="1000"/>
    <n v="1.8744037053212446"/>
    <n v="533.50300000000004"/>
    <x v="7"/>
    <s v="AB-S-D1"/>
    <s v="PALF"/>
    <s v="OAT"/>
    <s v="CONGO"/>
    <m/>
    <m/>
    <m/>
  </r>
  <r>
    <d v="2025-09-18T00:00:00"/>
    <s v="Taxi: Cabinet Me. BANZOUZI-Domicile"/>
    <x v="0"/>
    <x v="1"/>
    <n v="2000"/>
    <n v="3.7488074106424891"/>
    <n v="533.50300000000004"/>
    <x v="7"/>
    <s v="AB-S-D1"/>
    <s v="PALF"/>
    <s v="OAT"/>
    <s v="CONGO"/>
    <m/>
    <m/>
    <m/>
  </r>
  <r>
    <d v="2025-09-19T00:00:00"/>
    <s v="Maison-Bureau"/>
    <x v="0"/>
    <x v="0"/>
    <n v="1000"/>
    <n v="1.8744037053212446"/>
    <n v="533.50300000000004"/>
    <x v="0"/>
    <s v="DH-S-D1"/>
    <s v="PALF"/>
    <s v="OAT"/>
    <s v="CONGO"/>
    <m/>
    <m/>
    <m/>
  </r>
  <r>
    <d v="2025-09-19T00:00:00"/>
    <s v="Bureau-Maison"/>
    <x v="0"/>
    <x v="0"/>
    <n v="1000"/>
    <n v="1.8744037053212446"/>
    <n v="533.50300000000004"/>
    <x v="0"/>
    <s v="DH-S-D1"/>
    <s v="PALF"/>
    <s v="OAT"/>
    <s v="CONGO"/>
    <m/>
    <m/>
    <m/>
  </r>
  <r>
    <d v="2025-09-19T00:00:00"/>
    <s v="Taxi:  Bureau- Cabinet d'avocat/Depot  du chèque du mois d'aout 2025 Me LOCKO"/>
    <x v="0"/>
    <x v="2"/>
    <n v="1000"/>
    <n v="1.8744037053212446"/>
    <n v="533.50300000000004"/>
    <x v="2"/>
    <s v="P-S-D1"/>
    <s v="PALF"/>
    <s v="OAT"/>
    <s v="CONGO"/>
    <m/>
    <m/>
    <m/>
  </r>
  <r>
    <d v="2025-09-19T00:00:00"/>
    <s v="Taxi:  Cabinet d'Avocat - Domicile"/>
    <x v="0"/>
    <x v="2"/>
    <n v="1000"/>
    <n v="1.8744037053212446"/>
    <n v="533.50300000000004"/>
    <x v="2"/>
    <s v="P-S-D1"/>
    <s v="PALF"/>
    <s v="OAT"/>
    <s v="CONGO"/>
    <m/>
    <m/>
    <m/>
  </r>
  <r>
    <d v="2025-09-19T00:00:00"/>
    <s v="Taxi hotel-belolo,prospection"/>
    <x v="0"/>
    <x v="3"/>
    <n v="1000"/>
    <n v="1.8744037053212446"/>
    <n v="533.50300000000004"/>
    <x v="3"/>
    <s v="P29-S-D1"/>
    <s v="PALF"/>
    <s v="OAT"/>
    <s v="CONGO"/>
    <m/>
    <m/>
    <m/>
  </r>
  <r>
    <d v="2025-09-19T00:00:00"/>
    <s v="Taxi belolo-sab,prospection"/>
    <x v="0"/>
    <x v="3"/>
    <n v="1000"/>
    <n v="1.8744037053212446"/>
    <n v="533.50300000000004"/>
    <x v="3"/>
    <s v="P29-S-D1"/>
    <s v="PALF"/>
    <s v="OAT"/>
    <s v="CONGO"/>
    <m/>
    <m/>
    <m/>
  </r>
  <r>
    <d v="2025-09-19T00:00:00"/>
    <s v="Taxi sab-lissanga,prospection"/>
    <x v="0"/>
    <x v="3"/>
    <n v="1000"/>
    <n v="1.8744037053212446"/>
    <n v="533.50300000000004"/>
    <x v="3"/>
    <s v="P29-S-D1"/>
    <s v="PALF"/>
    <s v="OAT"/>
    <s v="CONGO"/>
    <m/>
    <m/>
    <m/>
  </r>
  <r>
    <d v="2025-09-19T00:00:00"/>
    <s v="Taxi lissanga-cv,prospection"/>
    <x v="0"/>
    <x v="3"/>
    <n v="1000"/>
    <n v="1.8744037053212446"/>
    <n v="533.50300000000004"/>
    <x v="3"/>
    <s v="P29-S-D1"/>
    <s v="PALF"/>
    <s v="OAT"/>
    <s v="CONGO"/>
    <m/>
    <m/>
    <m/>
  </r>
  <r>
    <d v="2025-09-19T00:00:00"/>
    <s v="Taxi cv-hotel"/>
    <x v="0"/>
    <x v="3"/>
    <n v="1000"/>
    <n v="1.8744037053212446"/>
    <n v="533.50300000000004"/>
    <x v="3"/>
    <s v="P29-S-D1"/>
    <s v="PALF"/>
    <s v="OAT"/>
    <s v="CONGO"/>
    <m/>
    <m/>
    <m/>
  </r>
  <r>
    <d v="2025-09-19T00:00:00"/>
    <s v="Achat boisson avec un cible"/>
    <x v="11"/>
    <x v="3"/>
    <n v="1000"/>
    <n v="1.8744037053212446"/>
    <n v="533.50300000000004"/>
    <x v="3"/>
    <s v="P29-S-D3"/>
    <s v="PALF"/>
    <s v="OAT"/>
    <s v="CONGO"/>
    <m/>
    <m/>
    <m/>
  </r>
  <r>
    <d v="2025-09-19T00:00:00"/>
    <s v="Taxi : hotel pharaon - hotel de P29"/>
    <x v="0"/>
    <x v="3"/>
    <n v="1000"/>
    <n v="1.8744037053212446"/>
    <n v="533.50300000000004"/>
    <x v="4"/>
    <s v="T73-S-D1"/>
    <s v="PALF"/>
    <s v="OAT"/>
    <s v="CONGO"/>
    <m/>
    <m/>
    <m/>
  </r>
  <r>
    <d v="2025-09-19T00:00:00"/>
    <s v="Taxi : hotel de P29 - hotel pharaon"/>
    <x v="0"/>
    <x v="3"/>
    <n v="1000"/>
    <n v="1.8744037053212446"/>
    <n v="533.50300000000004"/>
    <x v="4"/>
    <s v="T73-S-D1"/>
    <s v="PALF"/>
    <s v="OAT"/>
    <s v="CONGO"/>
    <m/>
    <m/>
    <m/>
  </r>
  <r>
    <d v="2025-09-19T00:00:00"/>
    <s v="Taxi: Domicile-Cabinet Me. BANZOUZI"/>
    <x v="0"/>
    <x v="1"/>
    <n v="2000"/>
    <n v="3.7488074106424891"/>
    <n v="533.50300000000004"/>
    <x v="7"/>
    <s v="AB-S-D1"/>
    <s v="PALF"/>
    <s v="OAT"/>
    <s v="CONGO"/>
    <m/>
    <m/>
    <m/>
  </r>
  <r>
    <d v="2025-09-19T00:00:00"/>
    <s v="Taxi: Cabinet Me. BANZOUZI- Bureau"/>
    <x v="0"/>
    <x v="1"/>
    <n v="1000"/>
    <n v="1.8744037053212446"/>
    <n v="533.50300000000004"/>
    <x v="7"/>
    <s v="AB-S-D1"/>
    <s v="PALF"/>
    <s v="OAT"/>
    <s v="CONGO"/>
    <m/>
    <m/>
    <m/>
  </r>
  <r>
    <d v="2025-09-19T00:00:00"/>
    <s v="Taxi: Bureau-DGEF"/>
    <x v="0"/>
    <x v="1"/>
    <n v="1000"/>
    <n v="1.8744037053212446"/>
    <n v="533.50300000000004"/>
    <x v="7"/>
    <s v="AB-S-D1"/>
    <s v="PALF"/>
    <s v="OAT"/>
    <s v="CONGO"/>
    <m/>
    <m/>
    <m/>
  </r>
  <r>
    <d v="2025-09-19T00:00:00"/>
    <s v="Taxi: DGEF-Bureau"/>
    <x v="0"/>
    <x v="1"/>
    <n v="1000"/>
    <n v="1.8744037053212446"/>
    <n v="533.50300000000004"/>
    <x v="7"/>
    <s v="AB-S-D1"/>
    <s v="PALF"/>
    <s v="OAT"/>
    <s v="CONGO"/>
    <m/>
    <m/>
    <m/>
  </r>
  <r>
    <d v="2025-09-19T00:00:00"/>
    <s v="Taxi:Bureau-Station 10 maisons pour achat du carburant"/>
    <x v="0"/>
    <x v="1"/>
    <n v="1500"/>
    <n v="2.8116055579818666"/>
    <n v="533.50300000000004"/>
    <x v="8"/>
    <s v="RO-S-D1"/>
    <s v="PALF"/>
    <s v="OAT"/>
    <s v="CONGO"/>
    <m/>
    <m/>
    <m/>
  </r>
  <r>
    <d v="2025-09-19T00:00:00"/>
    <s v="Taxi:Station 10 maisons- Station NGANGA Edouard "/>
    <x v="0"/>
    <x v="1"/>
    <n v="1000"/>
    <n v="1.8744037053212446"/>
    <n v="533.50300000000004"/>
    <x v="8"/>
    <s v="RO-S-D1"/>
    <s v="PALF"/>
    <s v="OAT"/>
    <s v="CONGO"/>
    <m/>
    <m/>
    <m/>
  </r>
  <r>
    <d v="2025-09-19T00:00:00"/>
    <s v="Station NGANGA Edouard-Station Rond-point de moungali"/>
    <x v="0"/>
    <x v="1"/>
    <n v="1500"/>
    <n v="2.8116055579818666"/>
    <n v="533.50300000000004"/>
    <x v="8"/>
    <s v="RO-S-D1"/>
    <s v="PALF"/>
    <s v="OAT"/>
    <s v="CONGO"/>
    <m/>
    <m/>
    <m/>
  </r>
  <r>
    <d v="2025-09-19T00:00:00"/>
    <s v="Taxi:Station rond-point moungali-Station marché moungali"/>
    <x v="0"/>
    <x v="1"/>
    <n v="1000"/>
    <n v="1.8744037053212446"/>
    <n v="533.50300000000004"/>
    <x v="8"/>
    <s v="RO-S-D1"/>
    <s v="PALF"/>
    <s v="OAT"/>
    <s v="CONGO"/>
    <m/>
    <m/>
    <m/>
  </r>
  <r>
    <d v="2025-09-19T00:00:00"/>
    <s v="Taxi:Marché moungali-Bureau"/>
    <x v="0"/>
    <x v="1"/>
    <n v="2000"/>
    <n v="3.7488074106424891"/>
    <n v="533.50300000000004"/>
    <x v="8"/>
    <s v="RO-S-D1"/>
    <s v="PALF"/>
    <s v="OAT"/>
    <s v="CONGO"/>
    <m/>
    <m/>
    <m/>
  </r>
  <r>
    <d v="2025-09-19T00:00:00"/>
    <s v="Achat carburant groupe electrogène Bureau"/>
    <x v="12"/>
    <x v="2"/>
    <n v="31250"/>
    <n v="58.575115791288894"/>
    <n v="533.50300000000004"/>
    <x v="8"/>
    <s v="CA-S-R15"/>
    <s v="PALF"/>
    <s v="OAT"/>
    <s v="CONGO"/>
    <m/>
    <m/>
    <m/>
  </r>
  <r>
    <d v="2025-09-19T00:00:00"/>
    <s v="Paiement Honoraire Me LOCKO/Mois d'Août  2025/3654435"/>
    <x v="5"/>
    <x v="1"/>
    <n v="150000"/>
    <n v="267.40732553454723"/>
    <n v="560.94200000000001"/>
    <x v="12"/>
    <s v="BQ-S-R6"/>
    <s v="PALF"/>
    <s v="Wildcat 2025"/>
    <s v="CONGO"/>
    <m/>
    <m/>
    <m/>
  </r>
  <r>
    <d v="2025-09-20T00:00:00"/>
    <s v="Maison-Bureau"/>
    <x v="0"/>
    <x v="0"/>
    <n v="1000"/>
    <n v="1.8744037053212446"/>
    <n v="533.50300000000004"/>
    <x v="0"/>
    <s v="DH-S-D1"/>
    <s v="PALF"/>
    <s v="OAT"/>
    <s v="CONGO"/>
    <m/>
    <m/>
    <m/>
  </r>
  <r>
    <d v="2025-09-20T00:00:00"/>
    <s v="Bureau-Maison"/>
    <x v="0"/>
    <x v="0"/>
    <n v="1000"/>
    <n v="1.8744037053212446"/>
    <n v="533.50300000000004"/>
    <x v="0"/>
    <s v="DH-S-D1"/>
    <s v="PALF"/>
    <s v="OAT"/>
    <s v="CONGO"/>
    <m/>
    <m/>
    <m/>
  </r>
  <r>
    <d v="2025-09-20T00:00:00"/>
    <s v="Taxi : hotel - gare routière"/>
    <x v="0"/>
    <x v="3"/>
    <n v="1000"/>
    <n v="1.8744037053212446"/>
    <n v="533.50300000000004"/>
    <x v="4"/>
    <s v="T73-S-D1"/>
    <s v="PALF"/>
    <s v="OAT"/>
    <s v="CONGO"/>
    <m/>
    <m/>
    <m/>
  </r>
  <r>
    <d v="2025-09-20T00:00:00"/>
    <s v="Taxi : gare routière - village mokondo ( prospection)"/>
    <x v="0"/>
    <x v="3"/>
    <n v="2500"/>
    <n v="4.6860092633031112"/>
    <n v="533.50300000000004"/>
    <x v="4"/>
    <s v="T73-S-D1"/>
    <s v="PALF"/>
    <s v="OAT"/>
    <s v="CONGO"/>
    <m/>
    <m/>
    <m/>
  </r>
  <r>
    <d v="2025-09-20T00:00:00"/>
    <s v="Taxi : village mokondo - gare routière ( prospection)"/>
    <x v="0"/>
    <x v="3"/>
    <n v="2500"/>
    <n v="4.6860092633031112"/>
    <n v="533.50300000000004"/>
    <x v="4"/>
    <s v="T73-S-D1"/>
    <s v="PALF"/>
    <s v="OAT"/>
    <s v="CONGO"/>
    <m/>
    <m/>
    <m/>
  </r>
  <r>
    <d v="2025-09-20T00:00:00"/>
    <s v="Taxi : gare routière - hotel ( prospection)"/>
    <x v="0"/>
    <x v="3"/>
    <n v="1000"/>
    <n v="1.8744037053212446"/>
    <n v="533.50300000000004"/>
    <x v="4"/>
    <s v="T73-S-D1"/>
    <s v="PALF"/>
    <s v="OAT"/>
    <s v="CONGO"/>
    <m/>
    <m/>
    <m/>
  </r>
  <r>
    <d v="2025-09-21T00:00:00"/>
    <s v="Maison-Bureau"/>
    <x v="0"/>
    <x v="0"/>
    <n v="1000"/>
    <n v="1.8744037053212446"/>
    <n v="533.50300000000004"/>
    <x v="0"/>
    <s v="DH-S-D1"/>
    <s v="PALF"/>
    <s v="OAT"/>
    <s v="CONGO"/>
    <m/>
    <m/>
    <m/>
  </r>
  <r>
    <d v="2025-09-21T00:00:00"/>
    <s v="Bureau-Maison"/>
    <x v="0"/>
    <x v="0"/>
    <n v="1000"/>
    <n v="1.8744037053212446"/>
    <n v="533.50300000000004"/>
    <x v="0"/>
    <s v="DH-S-D1"/>
    <s v="PALF"/>
    <s v="OAT"/>
    <s v="CONGO"/>
    <m/>
    <m/>
    <m/>
  </r>
  <r>
    <d v="2025-09-21T00:00:00"/>
    <s v="Taxi : hotel - gare routière"/>
    <x v="0"/>
    <x v="3"/>
    <n v="1000"/>
    <n v="1.8744037053212446"/>
    <n v="533.50300000000004"/>
    <x v="4"/>
    <s v="T73-S-D1"/>
    <s v="PALF"/>
    <s v="OAT"/>
    <s v="CONGO"/>
    <m/>
    <m/>
    <m/>
  </r>
  <r>
    <d v="2025-09-21T00:00:00"/>
    <s v="Taxi : gare routière - village mokondo ( prospection)"/>
    <x v="0"/>
    <x v="3"/>
    <n v="2500"/>
    <n v="4.6860092633031112"/>
    <n v="533.50300000000004"/>
    <x v="4"/>
    <s v="T73-S-D1"/>
    <s v="PALF"/>
    <s v="OAT"/>
    <s v="CONGO"/>
    <m/>
    <m/>
    <m/>
  </r>
  <r>
    <d v="2025-09-21T00:00:00"/>
    <s v="Taxi : village mokondo - gare routière ( prospection)"/>
    <x v="0"/>
    <x v="3"/>
    <n v="2500"/>
    <n v="4.6860092633031112"/>
    <n v="533.50300000000004"/>
    <x v="4"/>
    <s v="T73-S-D1"/>
    <s v="PALF"/>
    <s v="OAT"/>
    <s v="CONGO"/>
    <m/>
    <m/>
    <m/>
  </r>
  <r>
    <d v="2025-09-21T00:00:00"/>
    <s v="Taxi : gare routière - hotel (fin de journée)"/>
    <x v="0"/>
    <x v="3"/>
    <n v="1000"/>
    <n v="1.8744037053212446"/>
    <n v="533.50300000000004"/>
    <x v="4"/>
    <s v="T73-S-D1"/>
    <s v="PALF"/>
    <s v="OAT"/>
    <s v="CONGO"/>
    <m/>
    <m/>
    <m/>
  </r>
  <r>
    <d v="2025-09-21T00:00:00"/>
    <s v="achat boisson /une cible"/>
    <x v="11"/>
    <x v="3"/>
    <n v="1500"/>
    <n v="2.8116055579818666"/>
    <n v="533.50300000000004"/>
    <x v="4"/>
    <s v="T73-S-D3"/>
    <s v="PALF"/>
    <s v="OAT"/>
    <s v="CONGO"/>
    <m/>
    <m/>
    <m/>
  </r>
  <r>
    <d v="2025-09-22T00:00:00"/>
    <s v="Maison-Bureau"/>
    <x v="0"/>
    <x v="0"/>
    <n v="1000"/>
    <n v="1.8744037053212446"/>
    <n v="533.50300000000004"/>
    <x v="0"/>
    <s v="DH-S-D1"/>
    <s v="PALF"/>
    <s v="OAT"/>
    <s v="CONGO"/>
    <m/>
    <m/>
    <m/>
  </r>
  <r>
    <d v="2025-09-22T00:00:00"/>
    <s v="Bureau-Maison"/>
    <x v="0"/>
    <x v="0"/>
    <n v="1000"/>
    <n v="1.8744037053212446"/>
    <n v="533.50300000000004"/>
    <x v="0"/>
    <s v="DH-S-D1"/>
    <s v="PALF"/>
    <s v="OAT"/>
    <s v="CONGO"/>
    <m/>
    <m/>
    <m/>
  </r>
  <r>
    <d v="2025-09-22T00:00:00"/>
    <s v="Taxi:  Bureau-Banque BCI/ Retrait espèce"/>
    <x v="0"/>
    <x v="2"/>
    <n v="1000"/>
    <n v="1.8744037053212446"/>
    <n v="533.50300000000004"/>
    <x v="2"/>
    <s v="P-S-D1"/>
    <s v="PALF"/>
    <s v="OAT"/>
    <s v="CONGO"/>
    <m/>
    <m/>
    <m/>
  </r>
  <r>
    <d v="2025-09-22T00:00:00"/>
    <s v="Taxi:  Banque BCI - Bureau"/>
    <x v="0"/>
    <x v="2"/>
    <n v="1000"/>
    <n v="1.8744037053212446"/>
    <n v="533.50300000000004"/>
    <x v="2"/>
    <s v="P-S-D1"/>
    <s v="PALF"/>
    <s v="OAT"/>
    <s v="CONGO"/>
    <m/>
    <m/>
    <m/>
  </r>
  <r>
    <d v="2025-09-22T00:00:00"/>
    <s v="Taxi hotel-magandzi,prospection"/>
    <x v="0"/>
    <x v="3"/>
    <n v="1000"/>
    <n v="1.8744037053212446"/>
    <n v="533.50300000000004"/>
    <x v="3"/>
    <s v="P29-S-D1"/>
    <s v="PALF"/>
    <s v="OAT"/>
    <s v="CONGO"/>
    <m/>
    <m/>
    <m/>
  </r>
  <r>
    <d v="2025-09-22T00:00:00"/>
    <s v="Taxi magadzi-hotel"/>
    <x v="0"/>
    <x v="3"/>
    <n v="1000"/>
    <n v="1.8744037053212446"/>
    <n v="533.50300000000004"/>
    <x v="3"/>
    <s v="P29-S-D1"/>
    <s v="PALF"/>
    <s v="OAT"/>
    <s v="CONGO"/>
    <m/>
    <m/>
    <m/>
  </r>
  <r>
    <d v="2025-09-22T00:00:00"/>
    <s v="Taxi : hotel pharaon - hotel de P29"/>
    <x v="0"/>
    <x v="3"/>
    <n v="1000"/>
    <n v="1.8744037053212446"/>
    <n v="533.50300000000004"/>
    <x v="4"/>
    <s v="T73-S-D1"/>
    <s v="PALF"/>
    <s v="OAT"/>
    <s v="CONGO"/>
    <m/>
    <m/>
    <m/>
  </r>
  <r>
    <d v="2025-09-22T00:00:00"/>
    <s v="Taxi : hotel de P29 - hotel pharaon"/>
    <x v="0"/>
    <x v="3"/>
    <n v="1000"/>
    <n v="1.8744037053212446"/>
    <n v="533.50300000000004"/>
    <x v="4"/>
    <s v="T73-S-D1"/>
    <s v="PALF"/>
    <s v="OAT"/>
    <s v="CONGO"/>
    <m/>
    <m/>
    <m/>
  </r>
  <r>
    <d v="2025-09-22T00:00:00"/>
    <s v="Bonus à un informateur en RDC"/>
    <x v="11"/>
    <x v="3"/>
    <n v="35000"/>
    <n v="65.604129686243553"/>
    <n v="533.50300000000004"/>
    <x v="11"/>
    <s v="CA-S-R16"/>
    <s v="PALF"/>
    <s v="OAT"/>
    <s v="CONGO"/>
    <m/>
    <m/>
    <m/>
  </r>
  <r>
    <d v="2025-09-22T00:00:00"/>
    <s v="Frais de tansfert d'argent àl'informateur en RDC"/>
    <x v="3"/>
    <x v="2"/>
    <n v="2278"/>
    <n v="4.2698916407217951"/>
    <n v="533.50300000000004"/>
    <x v="11"/>
    <s v="CA-S-R17"/>
    <s v="PALF"/>
    <s v="OAT"/>
    <s v="CONGO"/>
    <m/>
    <m/>
    <m/>
  </r>
  <r>
    <d v="2025-09-23T00:00:00"/>
    <s v="Maison-Bureau"/>
    <x v="0"/>
    <x v="0"/>
    <n v="1000"/>
    <n v="1.8744037053212446"/>
    <n v="533.50300000000004"/>
    <x v="0"/>
    <s v="DH-S-D1"/>
    <s v="PALF"/>
    <s v="OAT"/>
    <s v="CONGO"/>
    <m/>
    <m/>
    <m/>
  </r>
  <r>
    <d v="2025-09-23T00:00:00"/>
    <s v="Bureau-Banque BCI"/>
    <x v="0"/>
    <x v="0"/>
    <n v="1000"/>
    <n v="1.8744037053212446"/>
    <n v="533.50300000000004"/>
    <x v="0"/>
    <s v="DH-S-D1"/>
    <s v="PALF"/>
    <s v="OAT"/>
    <s v="CONGO"/>
    <m/>
    <m/>
    <m/>
  </r>
  <r>
    <d v="2025-09-23T00:00:00"/>
    <s v="Banque BCI -Bureau"/>
    <x v="0"/>
    <x v="0"/>
    <n v="1000"/>
    <n v="1.8744037053212446"/>
    <n v="533.50300000000004"/>
    <x v="0"/>
    <s v="DH-S-D1"/>
    <s v="PALF"/>
    <s v="OAT"/>
    <s v="CONGO"/>
    <m/>
    <m/>
    <m/>
  </r>
  <r>
    <d v="2025-09-23T00:00:00"/>
    <s v="Bureau-Maison"/>
    <x v="0"/>
    <x v="0"/>
    <n v="1000"/>
    <n v="1.8744037053212446"/>
    <n v="533.50300000000004"/>
    <x v="0"/>
    <s v="DH-S-D1"/>
    <s v="PALF"/>
    <s v="OAT"/>
    <s v="CONGO"/>
    <m/>
    <m/>
    <m/>
  </r>
  <r>
    <d v="2025-09-23T00:00:00"/>
    <s v="Taxi: Bureau - Charden Farell/transfert d'argent à P29 et T73"/>
    <x v="0"/>
    <x v="2"/>
    <n v="500"/>
    <n v="0.93720185266062228"/>
    <n v="533.50300000000004"/>
    <x v="2"/>
    <s v="P-S-D1"/>
    <s v="PALF"/>
    <s v="OAT"/>
    <s v="CONGO"/>
    <m/>
    <m/>
    <m/>
  </r>
  <r>
    <d v="2025-09-23T00:00:00"/>
    <s v="Taxi: Charden Farell- Bureau"/>
    <x v="0"/>
    <x v="2"/>
    <n v="500"/>
    <n v="0.93720185266062228"/>
    <n v="533.50300000000004"/>
    <x v="2"/>
    <s v="P-S-D1"/>
    <s v="PALF"/>
    <s v="OAT"/>
    <s v="CONGO"/>
    <m/>
    <m/>
    <m/>
  </r>
  <r>
    <d v="2025-09-23T00:00:00"/>
    <s v="Frais de tansfert d'argent  a P29 et T73"/>
    <x v="3"/>
    <x v="2"/>
    <n v="2000"/>
    <n v="3.7488074106424891"/>
    <n v="533.50300000000004"/>
    <x v="2"/>
    <s v="CA-S-R18"/>
    <s v="PALF"/>
    <s v="OAT"/>
    <s v="CONGO"/>
    <m/>
    <m/>
    <m/>
  </r>
  <r>
    <d v="2025-09-23T00:00:00"/>
    <s v="Taxi hotel-cf marché,pas de fonds disponible"/>
    <x v="0"/>
    <x v="3"/>
    <n v="1000"/>
    <n v="1.8744037053212446"/>
    <n v="533.50300000000004"/>
    <x v="3"/>
    <s v="P29-S-D1"/>
    <s v="PALF"/>
    <s v="OAT"/>
    <s v="CONGO"/>
    <m/>
    <m/>
    <m/>
  </r>
  <r>
    <d v="2025-09-23T00:00:00"/>
    <s v="Taxi cf marché-cf cv,retrait des fonds"/>
    <x v="0"/>
    <x v="3"/>
    <n v="1000"/>
    <n v="1.8744037053212446"/>
    <n v="533.50300000000004"/>
    <x v="3"/>
    <s v="P29-S-D1"/>
    <s v="PALF"/>
    <s v="OAT"/>
    <s v="CONGO"/>
    <m/>
    <m/>
    <m/>
  </r>
  <r>
    <d v="2025-09-23T00:00:00"/>
    <s v="Taxi cf cv-hotel"/>
    <x v="0"/>
    <x v="3"/>
    <n v="1000"/>
    <n v="1.8744037053212446"/>
    <n v="533.50300000000004"/>
    <x v="3"/>
    <s v="P29-S-D1"/>
    <s v="PALF"/>
    <s v="OAT"/>
    <s v="CONGO"/>
    <m/>
    <m/>
    <m/>
  </r>
  <r>
    <d v="2025-09-23T00:00:00"/>
    <s v="Taxi : hotel pharaon - marché tsila ( rendez vous avec la cible)"/>
    <x v="0"/>
    <x v="3"/>
    <n v="1000"/>
    <n v="1.8744037053212446"/>
    <n v="533.50300000000004"/>
    <x v="4"/>
    <s v="T73-S-D1"/>
    <s v="PALF"/>
    <s v="OAT"/>
    <s v="CONGO"/>
    <m/>
    <m/>
    <m/>
  </r>
  <r>
    <d v="2025-09-23T00:00:00"/>
    <s v="Taxi : marché tsila - centre ville ( rendez vous avec la cible)"/>
    <x v="0"/>
    <x v="3"/>
    <n v="1000"/>
    <n v="1.8744037053212446"/>
    <n v="533.50300000000004"/>
    <x v="4"/>
    <s v="T73-S-D1"/>
    <s v="PALF"/>
    <s v="OAT"/>
    <s v="CONGO"/>
    <m/>
    <m/>
    <m/>
  </r>
  <r>
    <d v="2025-09-23T00:00:00"/>
    <s v="Taxi : centre ville - grand marché (extraction)"/>
    <x v="0"/>
    <x v="3"/>
    <n v="1000"/>
    <n v="1.8744037053212446"/>
    <n v="533.50300000000004"/>
    <x v="4"/>
    <s v="T73-S-D1"/>
    <s v="PALF"/>
    <s v="OAT"/>
    <s v="CONGO"/>
    <m/>
    <m/>
    <m/>
  </r>
  <r>
    <d v="2025-09-23T00:00:00"/>
    <s v="Taxi : grand marché - mont fleury (extraction)"/>
    <x v="0"/>
    <x v="3"/>
    <n v="1000"/>
    <n v="1.8744037053212446"/>
    <n v="533.50300000000004"/>
    <x v="4"/>
    <s v="T73-S-D1"/>
    <s v="PALF"/>
    <s v="OAT"/>
    <s v="CONGO"/>
    <m/>
    <m/>
    <m/>
  </r>
  <r>
    <d v="2025-09-23T00:00:00"/>
    <s v="Taxi : mont fleury - charden farell (extraction)"/>
    <x v="0"/>
    <x v="3"/>
    <n v="1000"/>
    <n v="1.8744037053212446"/>
    <n v="533.50300000000004"/>
    <x v="4"/>
    <s v="T73-S-D1"/>
    <s v="PALF"/>
    <s v="OAT"/>
    <s v="CONGO"/>
    <m/>
    <m/>
    <m/>
  </r>
  <r>
    <d v="2025-09-23T00:00:00"/>
    <s v="Taxi : charden farell - hotel  (fin de journeé)"/>
    <x v="0"/>
    <x v="3"/>
    <n v="1000"/>
    <n v="1.8744037053212446"/>
    <n v="533.50300000000004"/>
    <x v="4"/>
    <s v="T73-S-D1"/>
    <s v="PALF"/>
    <s v="OAT"/>
    <s v="CONGO"/>
    <m/>
    <m/>
    <m/>
  </r>
  <r>
    <d v="2025-09-23T00:00:00"/>
    <s v="achat boissons deux cible"/>
    <x v="11"/>
    <x v="3"/>
    <n v="11500"/>
    <n v="21.555642611194312"/>
    <n v="533.50300000000004"/>
    <x v="4"/>
    <s v="T73-S-D3"/>
    <s v="PALF"/>
    <s v="OAT"/>
    <s v="CONGO"/>
    <m/>
    <m/>
    <m/>
  </r>
  <r>
    <d v="2025-09-23T00:00:00"/>
    <s v="Taxi : Domicile - Moukondo/ Prospection"/>
    <x v="0"/>
    <x v="3"/>
    <n v="2000"/>
    <n v="3.7488074106424891"/>
    <n v="533.50300000000004"/>
    <x v="5"/>
    <s v="IT87-S-D1"/>
    <s v="PALF"/>
    <s v="OAT"/>
    <s v="CONGO"/>
    <m/>
    <m/>
    <m/>
  </r>
  <r>
    <d v="2025-09-23T00:00:00"/>
    <s v="Taxi : Moukondo - Nkombo/ Prospection"/>
    <x v="0"/>
    <x v="3"/>
    <n v="1500"/>
    <n v="2.8116055579818666"/>
    <n v="533.50300000000004"/>
    <x v="5"/>
    <s v="IT87-S-D1"/>
    <s v="PALF"/>
    <s v="OAT"/>
    <s v="CONGO"/>
    <m/>
    <m/>
    <m/>
  </r>
  <r>
    <d v="2025-09-23T00:00:00"/>
    <s v="Taxi : Nkombo - Tsiéme/ Prospection"/>
    <x v="0"/>
    <x v="3"/>
    <n v="1000"/>
    <n v="1.8744037053212446"/>
    <n v="533.50300000000004"/>
    <x v="5"/>
    <s v="IT87-S-D1"/>
    <s v="PALF"/>
    <s v="OAT"/>
    <s v="CONGO"/>
    <m/>
    <m/>
    <m/>
  </r>
  <r>
    <d v="2025-09-23T00:00:00"/>
    <s v="Taxi : Tsiéme - Domicile/ retour de prospection"/>
    <x v="0"/>
    <x v="3"/>
    <n v="2500"/>
    <n v="4.6860092633031112"/>
    <n v="533.50300000000004"/>
    <x v="5"/>
    <s v="IT87-S-D1"/>
    <s v="PALF"/>
    <s v="OAT"/>
    <s v="CONGO"/>
    <m/>
    <m/>
    <m/>
  </r>
  <r>
    <d v="2025-09-23T00:00:00"/>
    <s v="Taxi: Domicile - nganga lingolo/ prospection"/>
    <x v="0"/>
    <x v="3"/>
    <n v="2000"/>
    <n v="3.7488074106424891"/>
    <n v="533.50300000000004"/>
    <x v="6"/>
    <s v="G12-S-D1"/>
    <s v="PALF"/>
    <s v="OAT"/>
    <s v="CONGO"/>
    <m/>
    <m/>
    <m/>
  </r>
  <r>
    <d v="2025-09-23T00:00:00"/>
    <s v="Taxi: Nganga lingolo - mayanga/prospection"/>
    <x v="0"/>
    <x v="3"/>
    <n v="1000"/>
    <n v="1.8744037053212446"/>
    <n v="533.50300000000004"/>
    <x v="6"/>
    <s v="G12-S-D1"/>
    <s v="PALF"/>
    <s v="OAT"/>
    <s v="CONGO"/>
    <m/>
    <m/>
    <m/>
  </r>
  <r>
    <d v="2025-09-23T00:00:00"/>
    <s v="Taxi: Mayanga- domicile"/>
    <x v="0"/>
    <x v="3"/>
    <n v="1000"/>
    <n v="1.8744037053212446"/>
    <n v="533.50300000000004"/>
    <x v="6"/>
    <s v="G12-S-D1"/>
    <s v="PALF"/>
    <s v="OAT"/>
    <s v="CONGO"/>
    <m/>
    <m/>
    <m/>
  </r>
  <r>
    <d v="2025-09-23T00:00:00"/>
    <s v="Achat eau mineral 10 LITRES/Bureau"/>
    <x v="12"/>
    <x v="2"/>
    <n v="25000"/>
    <n v="46.860092633031115"/>
    <n v="533.50300000000004"/>
    <x v="7"/>
    <s v="CA-S-R19"/>
    <s v="PALF"/>
    <s v="OAT"/>
    <s v="CONGO"/>
    <m/>
    <m/>
    <m/>
  </r>
  <r>
    <d v="2025-09-24T00:00:00"/>
    <s v="Maison-Bureau"/>
    <x v="0"/>
    <x v="0"/>
    <n v="1000"/>
    <n v="1.8744037053212446"/>
    <n v="533.50300000000004"/>
    <x v="0"/>
    <s v="DH-S-D1"/>
    <s v="PALF"/>
    <s v="OAT"/>
    <s v="CONGO"/>
    <m/>
    <m/>
    <m/>
  </r>
  <r>
    <d v="2025-09-24T00:00:00"/>
    <s v="Bureau-Maison"/>
    <x v="0"/>
    <x v="0"/>
    <n v="1000"/>
    <n v="1.8744037053212446"/>
    <n v="533.50300000000004"/>
    <x v="0"/>
    <s v="DH-S-D1"/>
    <s v="PALF"/>
    <s v="OAT"/>
    <s v="CONGO"/>
    <m/>
    <m/>
    <m/>
  </r>
  <r>
    <d v="2025-09-24T00:00:00"/>
    <s v="Frais de réparation d'imprimante bureau PALF"/>
    <x v="12"/>
    <x v="2"/>
    <n v="19000"/>
    <n v="35.613670401103647"/>
    <n v="533.50300000000004"/>
    <x v="2"/>
    <s v="CA-S-R20"/>
    <s v="PALF"/>
    <s v="OAT"/>
    <s v="CONGO"/>
    <m/>
    <m/>
    <m/>
  </r>
  <r>
    <d v="2025-09-24T00:00:00"/>
    <s v="Taxi : hotel pharaon - hotel de P29"/>
    <x v="0"/>
    <x v="3"/>
    <n v="1000"/>
    <n v="1.8744037053212446"/>
    <n v="533.50300000000004"/>
    <x v="4"/>
    <s v="T73-S-D1"/>
    <s v="PALF"/>
    <s v="OAT"/>
    <s v="CONGO"/>
    <m/>
    <m/>
    <m/>
  </r>
  <r>
    <d v="2025-09-24T00:00:00"/>
    <s v="Taxi : hotel de P29 - hotel pharaon"/>
    <x v="0"/>
    <x v="3"/>
    <n v="1000"/>
    <n v="1.8744037053212446"/>
    <n v="533.50300000000004"/>
    <x v="4"/>
    <s v="T73-S-D1"/>
    <s v="PALF"/>
    <s v="OAT"/>
    <s v="CONGO"/>
    <m/>
    <m/>
    <m/>
  </r>
  <r>
    <d v="2025-09-25T00:00:00"/>
    <s v="Maison-Bureau"/>
    <x v="0"/>
    <x v="0"/>
    <n v="1000"/>
    <n v="1.8744037053212446"/>
    <n v="533.50300000000004"/>
    <x v="0"/>
    <s v="DH-S-D1"/>
    <s v="PALF"/>
    <s v="OAT"/>
    <s v="CONGO"/>
    <m/>
    <m/>
    <m/>
  </r>
  <r>
    <d v="2025-09-25T00:00:00"/>
    <s v="Bureau-Maison"/>
    <x v="0"/>
    <x v="0"/>
    <n v="1000"/>
    <n v="1.8744037053212446"/>
    <n v="533.50300000000004"/>
    <x v="0"/>
    <s v="DH-S-D1"/>
    <s v="PALF"/>
    <s v="OAT"/>
    <s v="CONGO"/>
    <m/>
    <m/>
    <m/>
  </r>
  <r>
    <d v="2025-09-25T00:00:00"/>
    <s v="Taxi : hotel pharaon - hotel de P29"/>
    <x v="0"/>
    <x v="3"/>
    <n v="1000"/>
    <n v="1.8744037053212446"/>
    <n v="533.50300000000004"/>
    <x v="4"/>
    <s v="T73-S-D1"/>
    <s v="PALF"/>
    <s v="OAT"/>
    <s v="CONGO"/>
    <m/>
    <m/>
    <m/>
  </r>
  <r>
    <d v="2025-09-25T00:00:00"/>
    <s v="Taxi : hotel de P29 - hotel pharaon"/>
    <x v="0"/>
    <x v="3"/>
    <n v="1000"/>
    <n v="1.8744037053212446"/>
    <n v="533.50300000000004"/>
    <x v="4"/>
    <s v="T73-S-D1"/>
    <s v="PALF"/>
    <s v="OAT"/>
    <s v="CONGO"/>
    <m/>
    <m/>
    <m/>
  </r>
  <r>
    <d v="2025-09-25T00:00:00"/>
    <s v="Taxi: Bureau-DGEF"/>
    <x v="0"/>
    <x v="1"/>
    <n v="1000"/>
    <n v="1.8744037053212446"/>
    <n v="533.50300000000004"/>
    <x v="11"/>
    <s v="RM-S-D1"/>
    <s v="PALF"/>
    <s v="OAT"/>
    <s v="CONGO"/>
    <m/>
    <m/>
    <m/>
  </r>
  <r>
    <d v="2025-09-25T00:00:00"/>
    <s v="Taxi: DGEF-Bureau"/>
    <x v="0"/>
    <x v="1"/>
    <n v="1000"/>
    <n v="1.8744037053212446"/>
    <n v="533.50300000000004"/>
    <x v="11"/>
    <s v="RM-S-D1"/>
    <s v="PALF"/>
    <s v="OAT"/>
    <s v="CONGO"/>
    <m/>
    <m/>
    <m/>
  </r>
  <r>
    <d v="2025-09-26T00:00:00"/>
    <s v="Maison-Bureau"/>
    <x v="0"/>
    <x v="0"/>
    <n v="1000"/>
    <n v="1.8744037053212446"/>
    <n v="533.50300000000004"/>
    <x v="0"/>
    <s v="DH-S-D1"/>
    <s v="PALF"/>
    <s v="OAT"/>
    <s v="CONGO"/>
    <m/>
    <m/>
    <m/>
  </r>
  <r>
    <d v="2025-09-26T00:00:00"/>
    <s v="Bureau-Maison"/>
    <x v="0"/>
    <x v="0"/>
    <n v="1000"/>
    <n v="1.8744037053212446"/>
    <n v="533.50300000000004"/>
    <x v="0"/>
    <s v="DH-S-D1"/>
    <s v="PALF"/>
    <s v="OAT"/>
    <s v="CONGO"/>
    <m/>
    <m/>
    <m/>
  </r>
  <r>
    <d v="2025-09-26T00:00:00"/>
    <s v="Taxi:  Bureau- Direction MTN/Transfert d'argent à P29 et T73"/>
    <x v="0"/>
    <x v="2"/>
    <n v="1000"/>
    <n v="1.8744037053212446"/>
    <n v="533.50300000000004"/>
    <x v="2"/>
    <s v="P-S-D1"/>
    <s v="PALF"/>
    <s v="OAT"/>
    <s v="CONGO"/>
    <m/>
    <m/>
    <m/>
  </r>
  <r>
    <d v="2025-09-26T00:00:00"/>
    <s v="Taxi:   Direction MTN- Domicile"/>
    <x v="0"/>
    <x v="2"/>
    <n v="1000"/>
    <n v="1.8744037053212446"/>
    <n v="533.50300000000004"/>
    <x v="2"/>
    <s v="P-S-D1"/>
    <s v="PALF"/>
    <s v="OAT"/>
    <s v="CONGO"/>
    <m/>
    <m/>
    <m/>
  </r>
  <r>
    <d v="2025-09-26T00:00:00"/>
    <s v="Frais de ramassage Ordure de Septembre 2025"/>
    <x v="9"/>
    <x v="2"/>
    <n v="6000"/>
    <n v="11.246422231927466"/>
    <n v="533.50300000000004"/>
    <x v="2"/>
    <s v="CA-S-R21"/>
    <s v="PALF"/>
    <s v="OAT"/>
    <s v="CONGO"/>
    <m/>
    <m/>
    <m/>
  </r>
  <r>
    <d v="2025-09-26T00:00:00"/>
    <s v="Frais de tansfert d'argent  a P29 et T73"/>
    <x v="3"/>
    <x v="2"/>
    <n v="2800"/>
    <n v="5.248330374899485"/>
    <n v="533.50300000000004"/>
    <x v="2"/>
    <s v="CA-S-R22"/>
    <s v="PALF"/>
    <s v="OAT"/>
    <s v="CONGO"/>
    <m/>
    <m/>
    <m/>
  </r>
  <r>
    <d v="2025-09-26T00:00:00"/>
    <s v="Taxi : hotel pharaon - hotel de P29"/>
    <x v="0"/>
    <x v="3"/>
    <n v="1000"/>
    <n v="1.8744037053212446"/>
    <n v="533.50300000000004"/>
    <x v="4"/>
    <s v="T73-S-D1"/>
    <s v="PALF"/>
    <s v="OAT"/>
    <s v="CONGO"/>
    <m/>
    <m/>
    <m/>
  </r>
  <r>
    <d v="2025-09-26T00:00:00"/>
    <s v="Taxi : hotel de P29 - hotel pharaon"/>
    <x v="0"/>
    <x v="3"/>
    <n v="1000"/>
    <n v="1.8744037053212446"/>
    <n v="533.50300000000004"/>
    <x v="4"/>
    <s v="T73-S-D1"/>
    <s v="PALF"/>
    <s v="OAT"/>
    <s v="CONGO"/>
    <m/>
    <m/>
    <m/>
  </r>
  <r>
    <d v="2025-09-26T00:00:00"/>
    <s v="Taxi: Bureau-Cabinet Maitre BANZOUZI"/>
    <x v="0"/>
    <x v="1"/>
    <n v="1500"/>
    <n v="2.8116055579818666"/>
    <n v="533.50300000000004"/>
    <x v="11"/>
    <s v="RM-S-D1"/>
    <s v="PALF"/>
    <s v="OAT"/>
    <s v="CONGO"/>
    <m/>
    <m/>
    <m/>
  </r>
  <r>
    <d v="2025-09-26T00:00:00"/>
    <s v="Taxi: Cabinet Maitre BANZOUZI-Domicile"/>
    <x v="0"/>
    <x v="1"/>
    <n v="3500"/>
    <n v="6.5604129686243562"/>
    <n v="533.50300000000004"/>
    <x v="11"/>
    <s v="RM-S-D1"/>
    <s v="PALF"/>
    <s v="OAT"/>
    <s v="CONGO"/>
    <m/>
    <m/>
    <m/>
  </r>
  <r>
    <d v="2025-09-27T00:00:00"/>
    <s v="Maison-Bureau"/>
    <x v="0"/>
    <x v="0"/>
    <n v="1000"/>
    <n v="1.8744037053212446"/>
    <n v="533.50300000000004"/>
    <x v="0"/>
    <s v="DH-S-D1"/>
    <s v="PALF"/>
    <s v="OAT"/>
    <s v="CONGO"/>
    <m/>
    <m/>
    <m/>
  </r>
  <r>
    <d v="2025-09-27T00:00:00"/>
    <s v="Bureau- Maison"/>
    <x v="0"/>
    <x v="0"/>
    <n v="1000"/>
    <n v="1.8744037053212446"/>
    <n v="533.50300000000004"/>
    <x v="0"/>
    <s v="DH-S-D1"/>
    <s v="PALF"/>
    <s v="OAT"/>
    <s v="CONGO"/>
    <m/>
    <m/>
    <m/>
  </r>
  <r>
    <d v="2025-09-27T00:00:00"/>
    <s v="Taxi: Domicile Mayanga-Marché Total pour le bureau préparatifs mission Dolisie."/>
    <x v="0"/>
    <x v="1"/>
    <n v="1500"/>
    <n v="2.8116055579818666"/>
    <n v="533.50300000000004"/>
    <x v="1"/>
    <s v="CR-S-D1"/>
    <s v="PALF"/>
    <s v="OAT"/>
    <s v="CONGO"/>
    <m/>
    <m/>
    <m/>
  </r>
  <r>
    <d v="2025-09-27T00:00:00"/>
    <s v="Taxi: Marché Total-Bureau"/>
    <x v="0"/>
    <x v="1"/>
    <n v="1000"/>
    <n v="1.8744037053212446"/>
    <n v="533.50300000000004"/>
    <x v="1"/>
    <s v="CR-S-D1"/>
    <s v="PALF"/>
    <s v="OAT"/>
    <s v="CONGO"/>
    <m/>
    <m/>
    <m/>
  </r>
  <r>
    <d v="2025-09-27T00:00:00"/>
    <s v="Taxi: Bureau-Marché Total"/>
    <x v="0"/>
    <x v="1"/>
    <n v="1000"/>
    <n v="1.8744037053212446"/>
    <n v="533.50300000000004"/>
    <x v="1"/>
    <s v="CR-S-D1"/>
    <s v="PALF"/>
    <s v="OAT"/>
    <s v="CONGO"/>
    <m/>
    <m/>
    <m/>
  </r>
  <r>
    <d v="2025-09-27T00:00:00"/>
    <s v="Taxi: Marché Total-Domicile"/>
    <x v="0"/>
    <x v="1"/>
    <n v="1500"/>
    <n v="2.8116055579818666"/>
    <n v="533.50300000000004"/>
    <x v="1"/>
    <s v="CR-S-D1"/>
    <s v="PALF"/>
    <s v="OAT"/>
    <s v="CONGO"/>
    <m/>
    <m/>
    <m/>
  </r>
  <r>
    <d v="2025-09-27T00:00:00"/>
    <s v="Taxi:Domicile -Bureau"/>
    <x v="0"/>
    <x v="2"/>
    <n v="1000"/>
    <n v="1.8744037053212446"/>
    <n v="533.50300000000004"/>
    <x v="2"/>
    <s v="P-S-D1"/>
    <s v="PALF"/>
    <s v="OAT"/>
    <s v="CONGO"/>
    <m/>
    <m/>
    <m/>
  </r>
  <r>
    <d v="2025-09-27T00:00:00"/>
    <s v="Taxi:  Bureau- WESTERN UNION Moungali"/>
    <x v="0"/>
    <x v="2"/>
    <n v="1000"/>
    <n v="1.8744037053212446"/>
    <n v="533.50300000000004"/>
    <x v="2"/>
    <s v="P-S-D1"/>
    <s v="PALF"/>
    <s v="OAT"/>
    <s v="CONGO"/>
    <m/>
    <m/>
    <m/>
  </r>
  <r>
    <d v="2025-09-27T00:00:00"/>
    <s v="Taxi:  WESTERN UNION Moungali-WESTERN UNION Mapassi"/>
    <x v="0"/>
    <x v="2"/>
    <n v="500"/>
    <n v="0.93720185266062228"/>
    <n v="533.50300000000004"/>
    <x v="2"/>
    <s v="P-S-D1"/>
    <s v="PALF"/>
    <s v="OAT"/>
    <s v="CONGO"/>
    <m/>
    <m/>
    <m/>
  </r>
  <r>
    <d v="2025-09-27T00:00:00"/>
    <s v="Taxi: WESTERN UNION Mapassi- WESTERN UNION Plateau"/>
    <x v="0"/>
    <x v="2"/>
    <n v="1000"/>
    <n v="1.8744037053212446"/>
    <n v="533.50300000000004"/>
    <x v="2"/>
    <s v="P-S-D1"/>
    <s v="PALF"/>
    <s v="OAT"/>
    <s v="CONGO"/>
    <m/>
    <m/>
    <m/>
  </r>
  <r>
    <d v="2025-09-27T00:00:00"/>
    <s v="Taxi:  WESTERN UNION Plateau- Bureau"/>
    <x v="0"/>
    <x v="2"/>
    <n v="1000"/>
    <n v="1.8744037053212446"/>
    <n v="533.50300000000004"/>
    <x v="2"/>
    <s v="P-S-D1"/>
    <s v="PALF"/>
    <s v="OAT"/>
    <s v="CONGO"/>
    <m/>
    <m/>
    <m/>
  </r>
  <r>
    <d v="2025-09-27T00:00:00"/>
    <s v="Taxi:   Bureau- Domicile"/>
    <x v="0"/>
    <x v="2"/>
    <n v="1000"/>
    <n v="1.8744037053212446"/>
    <n v="533.50300000000004"/>
    <x v="2"/>
    <s v="P-S-D1"/>
    <s v="PALF"/>
    <s v="OAT"/>
    <s v="CONGO"/>
    <m/>
    <m/>
    <m/>
  </r>
  <r>
    <d v="2025-09-27T00:00:00"/>
    <s v="Taxi : hotel pharaon - hotel de P29"/>
    <x v="0"/>
    <x v="3"/>
    <n v="1000"/>
    <n v="1.8744037053212446"/>
    <n v="533.50300000000004"/>
    <x v="4"/>
    <s v="T73-S-D1"/>
    <s v="PALF"/>
    <s v="OAT"/>
    <s v="CONGO"/>
    <m/>
    <m/>
    <m/>
  </r>
  <r>
    <d v="2025-09-27T00:00:00"/>
    <s v="Taxi : hotel de P29 - hotel pharaon"/>
    <x v="0"/>
    <x v="3"/>
    <n v="1000"/>
    <n v="1.8744037053212446"/>
    <n v="533.50300000000004"/>
    <x v="4"/>
    <s v="T73-S-D1"/>
    <s v="PALF"/>
    <s v="OAT"/>
    <s v="CONGO"/>
    <m/>
    <m/>
    <m/>
  </r>
  <r>
    <d v="2025-09-27T00:00:00"/>
    <s v="Taxi Domicile-Bureau/ Pour une eventuelle mission"/>
    <x v="4"/>
    <x v="1"/>
    <n v="1000"/>
    <n v="1.8744037053212446"/>
    <n v="533.50300000000004"/>
    <x v="9"/>
    <s v="DR-S-D1"/>
    <s v="PALF"/>
    <s v="OAT"/>
    <s v="CONGO"/>
    <m/>
    <m/>
    <m/>
  </r>
  <r>
    <d v="2025-09-27T00:00:00"/>
    <s v="Taxi Bureau-Domicile"/>
    <x v="4"/>
    <x v="1"/>
    <n v="1000"/>
    <n v="1.8744037053212446"/>
    <n v="533.50300000000004"/>
    <x v="9"/>
    <s v="DR-S-D1"/>
    <s v="PALF"/>
    <s v="OAT"/>
    <s v="CONGO"/>
    <m/>
    <m/>
    <m/>
  </r>
  <r>
    <d v="2025-09-27T00:00:00"/>
    <s v="Taxi, Domicile-Bureau PALF"/>
    <x v="0"/>
    <x v="4"/>
    <n v="1000"/>
    <n v="1.8744037053212446"/>
    <n v="533.50300000000004"/>
    <x v="10"/>
    <s v="EV-S-D1"/>
    <s v="PALF"/>
    <s v="OAT"/>
    <s v="CONGO"/>
    <m/>
    <m/>
    <m/>
  </r>
  <r>
    <d v="2025-09-27T00:00:00"/>
    <s v="Taxi, Bureau PALF-Domicile"/>
    <x v="0"/>
    <x v="4"/>
    <n v="1000"/>
    <n v="1.8744037053212446"/>
    <n v="533.50300000000004"/>
    <x v="10"/>
    <s v="EV-S-D1"/>
    <s v="PALF"/>
    <s v="OAT"/>
    <s v="CONGO"/>
    <m/>
    <m/>
    <m/>
  </r>
  <r>
    <d v="2025-09-28T00:00:00"/>
    <s v="Maison-Bureau"/>
    <x v="0"/>
    <x v="0"/>
    <n v="1000"/>
    <m/>
    <n v="533.50300000000004"/>
    <x v="0"/>
    <s v="DH-S-D1"/>
    <s v="PALF"/>
    <s v="OAT"/>
    <s v="CONGO"/>
    <m/>
    <m/>
    <m/>
  </r>
  <r>
    <d v="2025-09-28T00:00:00"/>
    <s v="Bureau -Maison"/>
    <x v="0"/>
    <x v="0"/>
    <n v="1000"/>
    <n v="1.8744037053212446"/>
    <n v="533.50300000000004"/>
    <x v="0"/>
    <s v="DH-S-D1"/>
    <s v="PALF"/>
    <s v="OAT"/>
    <s v="CONGO"/>
    <m/>
    <m/>
    <m/>
  </r>
  <r>
    <d v="2025-09-28T00:00:00"/>
    <s v="Achat billet Brazzaville- Dolisie/ DOVI"/>
    <x v="0"/>
    <x v="0"/>
    <n v="9000"/>
    <n v="16.869633347891202"/>
    <n v="533.50300000000004"/>
    <x v="0"/>
    <s v="DH-S-R5"/>
    <s v="PALF"/>
    <s v="OAT"/>
    <s v="CONGO"/>
    <m/>
    <m/>
    <m/>
  </r>
  <r>
    <d v="2025-09-28T00:00:00"/>
    <s v="Taxi: Domicile Mayanga-Marché Total"/>
    <x v="0"/>
    <x v="1"/>
    <n v="1500"/>
    <n v="2.8116055579818666"/>
    <n v="533.50300000000004"/>
    <x v="1"/>
    <s v="CR-S-D1"/>
    <s v="PALF"/>
    <s v="OAT"/>
    <s v="CONGO"/>
    <m/>
    <m/>
    <m/>
  </r>
  <r>
    <d v="2025-09-28T00:00:00"/>
    <s v="Taxi: Marché Total-Bureau"/>
    <x v="0"/>
    <x v="1"/>
    <n v="1000"/>
    <n v="1.8744037053212446"/>
    <n v="533.50300000000004"/>
    <x v="1"/>
    <s v="CR-S-D1"/>
    <s v="PALF"/>
    <s v="OAT"/>
    <s v="CONGO"/>
    <m/>
    <m/>
    <m/>
  </r>
  <r>
    <d v="2025-09-28T00:00:00"/>
    <s v="Taxi: Bureau-Agence trans bony achat billets"/>
    <x v="0"/>
    <x v="1"/>
    <n v="1000"/>
    <n v="1.8744037053212446"/>
    <n v="533.50300000000004"/>
    <x v="1"/>
    <s v="CR-S-D1"/>
    <s v="PALF"/>
    <s v="OAT"/>
    <s v="CONGO"/>
    <m/>
    <m/>
    <m/>
  </r>
  <r>
    <d v="2025-09-28T00:00:00"/>
    <s v="Taxi: Agence trans bony la frontière-Bureau "/>
    <x v="0"/>
    <x v="1"/>
    <n v="1000"/>
    <n v="1.8744037053212446"/>
    <n v="533.50300000000004"/>
    <x v="1"/>
    <s v="CR-S-D1"/>
    <s v="PALF"/>
    <s v="OAT"/>
    <s v="CONGO"/>
    <m/>
    <m/>
    <m/>
  </r>
  <r>
    <d v="2025-09-28T00:00:00"/>
    <s v="Taxi: Bureau-Marché Total"/>
    <x v="0"/>
    <x v="1"/>
    <n v="1000"/>
    <n v="1.8744037053212446"/>
    <n v="533.50300000000004"/>
    <x v="1"/>
    <s v="CR-S-D1"/>
    <s v="PALF"/>
    <s v="OAT"/>
    <s v="CONGO"/>
    <m/>
    <m/>
    <m/>
  </r>
  <r>
    <d v="2025-09-28T00:00:00"/>
    <s v="Taxi: Marché Total-Domicile Mayanga."/>
    <x v="0"/>
    <x v="1"/>
    <n v="1500"/>
    <n v="2.8116055579818666"/>
    <n v="533.50300000000004"/>
    <x v="1"/>
    <s v="CR-S-D1"/>
    <s v="PALF"/>
    <s v="OAT"/>
    <s v="CONGO"/>
    <m/>
    <m/>
    <m/>
  </r>
  <r>
    <d v="2025-09-28T00:00:00"/>
    <s v="Achat Billet Brazzaville-Dolisie/ CREPIN"/>
    <x v="0"/>
    <x v="1"/>
    <n v="9000"/>
    <n v="16.869633347891202"/>
    <n v="533.50300000000004"/>
    <x v="1"/>
    <s v="CR-S-R11"/>
    <s v="PALF"/>
    <s v="OAT"/>
    <s v="CONGO"/>
    <m/>
    <m/>
    <m/>
  </r>
  <r>
    <d v="2025-09-28T00:00:00"/>
    <s v="Taxi:  Domicile- Western Union Plateau"/>
    <x v="0"/>
    <x v="2"/>
    <n v="1000"/>
    <n v="1.7827155035636482"/>
    <n v="560.94200000000001"/>
    <x v="2"/>
    <s v="P-S-D1"/>
    <s v="PALF"/>
    <s v="Wildcat 2025"/>
    <s v="CONGO"/>
    <m/>
    <m/>
    <m/>
  </r>
  <r>
    <d v="2025-09-28T00:00:00"/>
    <s v="Taxi:   Bureau- Domicile"/>
    <x v="0"/>
    <x v="2"/>
    <n v="1000"/>
    <n v="1.7827155035636482"/>
    <n v="560.94200000000001"/>
    <x v="2"/>
    <s v="P-S-D1"/>
    <s v="PALF"/>
    <s v="Wildcat 2025"/>
    <s v="CONGO"/>
    <m/>
    <m/>
    <m/>
  </r>
  <r>
    <d v="2025-09-28T00:00:00"/>
    <s v="Taxi : hotel pharaon - la gare centrale ( rendez-vous avec la cible)"/>
    <x v="0"/>
    <x v="3"/>
    <n v="1000"/>
    <n v="1.7827155035636482"/>
    <n v="560.94200000000001"/>
    <x v="4"/>
    <s v="T73-S-D1"/>
    <s v="PALF"/>
    <s v="Wildcat 2025"/>
    <s v="CONGO"/>
    <m/>
    <m/>
    <m/>
  </r>
  <r>
    <d v="2025-09-28T00:00:00"/>
    <s v="Taxi : la gare centrale - centre ville (extraction)"/>
    <x v="0"/>
    <x v="3"/>
    <n v="1000"/>
    <n v="1.7827155035636482"/>
    <n v="560.94200000000001"/>
    <x v="4"/>
    <s v="T73-S-D1"/>
    <s v="PALF"/>
    <s v="Wildcat 2025"/>
    <s v="CONGO"/>
    <m/>
    <m/>
    <m/>
  </r>
  <r>
    <d v="2025-09-28T00:00:00"/>
    <s v="Taxi : centre ville - tsila (extraction)"/>
    <x v="0"/>
    <x v="3"/>
    <n v="1000"/>
    <n v="1.7827155035636482"/>
    <n v="560.94200000000001"/>
    <x v="4"/>
    <s v="T73-S-D1"/>
    <s v="PALF"/>
    <s v="Wildcat 2025"/>
    <s v="CONGO"/>
    <m/>
    <m/>
    <m/>
  </r>
  <r>
    <d v="2025-09-28T00:00:00"/>
    <s v="Taxi : tsila - hotel de P29 (extraction)"/>
    <x v="0"/>
    <x v="3"/>
    <n v="1000"/>
    <n v="1.7827155035636482"/>
    <n v="560.94200000000001"/>
    <x v="4"/>
    <s v="T73-S-D1"/>
    <s v="PALF"/>
    <s v="Wildcat 2025"/>
    <s v="CONGO"/>
    <m/>
    <m/>
    <m/>
  </r>
  <r>
    <d v="2025-09-28T00:00:00"/>
    <s v="Taxi : hotel de P29 - hotel pharaon (fin de journée)"/>
    <x v="0"/>
    <x v="3"/>
    <n v="1000"/>
    <m/>
    <n v="560.94200000000001"/>
    <x v="4"/>
    <s v="T73-S-D1"/>
    <s v="PALF"/>
    <s v="Wildcat 2025"/>
    <s v="CONGO"/>
    <m/>
    <m/>
    <m/>
  </r>
  <r>
    <d v="2025-09-28T00:00:00"/>
    <s v="achat boisson/2cible"/>
    <x v="11"/>
    <x v="3"/>
    <n v="3500"/>
    <n v="6.239504262472769"/>
    <n v="560.94200000000001"/>
    <x v="4"/>
    <s v="T73-S-D3"/>
    <s v="PALF"/>
    <s v="Wildcat 2025"/>
    <s v="CONGO"/>
    <m/>
    <m/>
    <m/>
  </r>
  <r>
    <d v="2025-09-28T00:00:00"/>
    <s v="Taxi Domicile-Bureau/ Pour preparer la mission sur Dolisie"/>
    <x v="4"/>
    <x v="1"/>
    <n v="1000"/>
    <n v="1.7827155035636482"/>
    <n v="560.94200000000001"/>
    <x v="9"/>
    <s v="DR-S-D1"/>
    <s v="PALF"/>
    <s v="Wildcat 2025"/>
    <s v="CONGO"/>
    <m/>
    <m/>
    <m/>
  </r>
  <r>
    <d v="2025-09-28T00:00:00"/>
    <s v="Achat billet Brazzaville-Dolisie/ Donald-Roméo"/>
    <x v="4"/>
    <x v="1"/>
    <n v="9000"/>
    <n v="16.044439532072836"/>
    <n v="560.94200000000001"/>
    <x v="9"/>
    <s v="DR-S-R8"/>
    <s v="PALF"/>
    <s v="Wildcat 2025"/>
    <s v="CONGO"/>
    <m/>
    <m/>
    <m/>
  </r>
  <r>
    <d v="2025-09-28T00:00:00"/>
    <s v="Taxi Bureau-Domicile"/>
    <x v="4"/>
    <x v="1"/>
    <n v="1000"/>
    <n v="1.7827155035636482"/>
    <n v="560.94200000000001"/>
    <x v="9"/>
    <s v="DR-S-D1"/>
    <s v="PALF"/>
    <s v="Wildcat 2025"/>
    <s v="CONGO"/>
    <m/>
    <m/>
    <m/>
  </r>
  <r>
    <d v="2025-09-28T00:00:00"/>
    <s v="Taxi, Domicile-Bureau PALF"/>
    <x v="0"/>
    <x v="4"/>
    <n v="1000"/>
    <n v="1.7827155035636482"/>
    <n v="560.94200000000001"/>
    <x v="10"/>
    <s v="EV-S-D1"/>
    <s v="PALF"/>
    <s v="Wildcat 2025"/>
    <s v="CONGO"/>
    <m/>
    <m/>
    <m/>
  </r>
  <r>
    <d v="2025-09-28T00:00:00"/>
    <s v="Achat billet Brazzaville-Dolisie/ Evariste"/>
    <x v="0"/>
    <x v="4"/>
    <n v="9000"/>
    <n v="16.044439532072836"/>
    <n v="560.94200000000001"/>
    <x v="10"/>
    <s v="EV-S-R9"/>
    <s v="PALF"/>
    <s v="Wildcat 2025"/>
    <s v="CONGO"/>
    <m/>
    <m/>
    <m/>
  </r>
  <r>
    <d v="2025-09-28T00:00:00"/>
    <s v="Taxi, Bureau PALF-Domicile"/>
    <x v="0"/>
    <x v="4"/>
    <n v="1000"/>
    <n v="1.7827155035636482"/>
    <n v="560.94200000000001"/>
    <x v="10"/>
    <s v="EV-S-D1"/>
    <s v="PALF"/>
    <s v="Wildcat 2025"/>
    <s v="CONGO"/>
    <m/>
    <m/>
    <m/>
  </r>
  <r>
    <d v="2025-09-29T00:00:00"/>
    <s v="Maison-Transbony (Départ pour Dolisie)"/>
    <x v="0"/>
    <x v="0"/>
    <n v="1000"/>
    <n v="1.7827155035636482"/>
    <n v="560.94200000000001"/>
    <x v="0"/>
    <s v="DH-S-D1"/>
    <s v="PALF"/>
    <s v="Wildcat 2025"/>
    <s v="CONGO"/>
    <m/>
    <m/>
    <m/>
  </r>
  <r>
    <d v="2025-09-29T00:00:00"/>
    <s v="Credit telephonique MTN/PALF/ du 29 septembre au 05 octobre 2025/DOVI"/>
    <x v="1"/>
    <x v="0"/>
    <n v="12500"/>
    <n v="22.283943794545603"/>
    <n v="560.94200000000001"/>
    <x v="0"/>
    <s v="DH-S-R6"/>
    <s v="PALF"/>
    <s v="Wildcat 2025"/>
    <s v="CONGO"/>
    <m/>
    <m/>
    <m/>
  </r>
  <r>
    <d v="2025-09-29T00:00:00"/>
    <s v="DOVI- CONGO Ration du 29/09 au 02/ 10/ 2025 à Dolisie"/>
    <x v="2"/>
    <x v="0"/>
    <n v="30000"/>
    <n v="53.481465106909447"/>
    <n v="560.94200000000001"/>
    <x v="0"/>
    <s v="DH-S-D2"/>
    <s v="PALF"/>
    <s v="Wildcat 2025"/>
    <s v="CONGO"/>
    <m/>
    <m/>
    <m/>
  </r>
  <r>
    <d v="2025-09-29T00:00:00"/>
    <s v="Credit telephonique MTN PALF/du 29 septembre au 05 octobre 2025/ crepin"/>
    <x v="1"/>
    <x v="1"/>
    <n v="10000"/>
    <n v="17.827155035636483"/>
    <n v="560.94200000000001"/>
    <x v="1"/>
    <s v="CR-S-R12"/>
    <s v="PALF"/>
    <s v="Wildcat 2025"/>
    <s v="CONGO"/>
    <m/>
    <m/>
    <m/>
  </r>
  <r>
    <d v="2025-09-29T00:00:00"/>
    <s v="CREPIN-CONGO Ration du 29 /09 au 05/10/2025 à Dolisie"/>
    <x v="2"/>
    <x v="1"/>
    <n v="60000"/>
    <n v="106.96293021381889"/>
    <n v="560.94200000000001"/>
    <x v="1"/>
    <s v="CR-S-D3"/>
    <s v="PALF"/>
    <s v="Wildcat 2025"/>
    <s v="CONGO"/>
    <m/>
    <m/>
    <m/>
  </r>
  <r>
    <d v="2025-09-29T00:00:00"/>
    <s v="Taxi: Domicile Mayanga-Agence Trans Bony la Frontière"/>
    <x v="0"/>
    <x v="1"/>
    <n v="2500"/>
    <n v="4.4567887589091209"/>
    <n v="560.94200000000001"/>
    <x v="1"/>
    <s v="CR-S-D1"/>
    <s v="PALF"/>
    <s v="Wildcat 2025"/>
    <s v="CONGO"/>
    <m/>
    <m/>
    <m/>
  </r>
  <r>
    <d v="2025-09-29T00:00:00"/>
    <s v="Taxi:  Domicile- Direction MTN/Achat crédits  Bureau PALF"/>
    <x v="0"/>
    <x v="2"/>
    <n v="1500"/>
    <n v="2.6740732553454722"/>
    <n v="560.94200000000001"/>
    <x v="2"/>
    <s v="P-S-D1"/>
    <s v="PALF"/>
    <s v="Wildcat 2025"/>
    <s v="CONGO"/>
    <m/>
    <m/>
    <m/>
  </r>
  <r>
    <d v="2025-09-29T00:00:00"/>
    <s v="Taxi:   Direction MTN- Banque/Demande de positionnement de fond dans le compte PALF"/>
    <x v="0"/>
    <x v="2"/>
    <n v="500"/>
    <n v="0.89135775178182408"/>
    <n v="560.94200000000001"/>
    <x v="2"/>
    <s v="P-S-D1"/>
    <s v="PALF"/>
    <s v="Wildcat 2025"/>
    <s v="CONGO"/>
    <m/>
    <m/>
    <m/>
  </r>
  <r>
    <d v="2025-09-29T00:00:00"/>
    <s v="Taxi:  Banque BCI - Bureau"/>
    <x v="0"/>
    <x v="2"/>
    <n v="1500"/>
    <n v="2.6740732553454722"/>
    <n v="560.94200000000001"/>
    <x v="2"/>
    <s v="P-S-D1"/>
    <s v="PALF"/>
    <s v="Wildcat 2025"/>
    <s v="CONGO"/>
    <m/>
    <m/>
    <m/>
  </r>
  <r>
    <d v="2025-09-29T00:00:00"/>
    <s v="Credit teléphonique MTN PALF/ du 29  septembre au 05 octobre 2025/ Parfaite"/>
    <x v="1"/>
    <x v="0"/>
    <n v="7500"/>
    <n v="13.370366276727362"/>
    <n v="560.94200000000001"/>
    <x v="2"/>
    <s v="P-S-R4"/>
    <s v="PALF"/>
    <s v="Wildcat 2025"/>
    <s v="CONGO"/>
    <m/>
    <m/>
    <m/>
  </r>
  <r>
    <d v="2025-09-29T00:00:00"/>
    <s v="Taxi hotel-hotel la gloire,réservation équipe op"/>
    <x v="0"/>
    <x v="3"/>
    <n v="1000"/>
    <n v="1.7827155035636482"/>
    <n v="560.94200000000001"/>
    <x v="3"/>
    <s v="P29-S-D1"/>
    <s v="PALF"/>
    <s v="Wildcat 2025"/>
    <s v="CONGO"/>
    <m/>
    <m/>
    <m/>
  </r>
  <r>
    <d v="2025-09-29T00:00:00"/>
    <s v="Taxi hotel la gloire-hotel yasmine,reservation chambre op"/>
    <x v="0"/>
    <x v="3"/>
    <n v="1000"/>
    <n v="1.7827155035636482"/>
    <n v="560.94200000000001"/>
    <x v="3"/>
    <s v="P29-S-D1"/>
    <s v="PALF"/>
    <s v="Wildcat 2025"/>
    <s v="CONGO"/>
    <m/>
    <m/>
    <m/>
  </r>
  <r>
    <d v="2025-09-29T00:00:00"/>
    <s v="Taxi  hotel yasmine-mabidi"/>
    <x v="0"/>
    <x v="3"/>
    <n v="1000"/>
    <n v="1.7827155035636482"/>
    <n v="560.94200000000001"/>
    <x v="3"/>
    <s v="P29-S-D1"/>
    <s v="PALF"/>
    <s v="Wildcat 2025"/>
    <s v="CONGO"/>
    <m/>
    <m/>
    <m/>
  </r>
  <r>
    <d v="2025-09-29T00:00:00"/>
    <s v="Taxi hotel mabidi-sab,chercher l'équipe pour installation"/>
    <x v="0"/>
    <x v="3"/>
    <n v="1000"/>
    <n v="1.7827155035636482"/>
    <n v="560.94200000000001"/>
    <x v="3"/>
    <s v="P29-S-D1"/>
    <s v="PALF"/>
    <s v="Wildcat 2025"/>
    <s v="CONGO"/>
    <m/>
    <m/>
    <m/>
  </r>
  <r>
    <d v="2025-09-29T00:00:00"/>
    <s v="Taxi sab-yasmine,installé l'équipe"/>
    <x v="0"/>
    <x v="3"/>
    <n v="1000"/>
    <n v="1.7827155035636482"/>
    <n v="560.94200000000001"/>
    <x v="3"/>
    <s v="P29-S-D1"/>
    <s v="PALF"/>
    <s v="Wildcat 2025"/>
    <s v="CONGO"/>
    <m/>
    <m/>
    <m/>
  </r>
  <r>
    <d v="2025-09-29T00:00:00"/>
    <s v="Taxi hotel yasmine-hotel mabidi"/>
    <x v="0"/>
    <x v="3"/>
    <n v="1000"/>
    <n v="1.7827155035636482"/>
    <n v="560.94200000000001"/>
    <x v="3"/>
    <s v="P29-S-D1"/>
    <s v="PALF"/>
    <s v="Wildcat 2025"/>
    <s v="CONGO"/>
    <m/>
    <m/>
    <m/>
  </r>
  <r>
    <d v="2025-09-29T00:00:00"/>
    <s v="Credit telephonique MTN PALF/ du 29 Septembre  au 05 octobre 2025/ Investigation/P29"/>
    <x v="1"/>
    <x v="3"/>
    <n v="10000"/>
    <n v="17.827155035636483"/>
    <n v="560.94200000000001"/>
    <x v="3"/>
    <s v="P29-S-R10"/>
    <s v="PALF"/>
    <s v="Wildcat 2025"/>
    <s v="CONGO"/>
    <m/>
    <m/>
    <m/>
  </r>
  <r>
    <d v="2025-09-29T00:00:00"/>
    <s v="taxi : hotel pharaon - centre ville (rendez - vous avec la cibe)"/>
    <x v="0"/>
    <x v="3"/>
    <n v="1000"/>
    <n v="1.7827155035636482"/>
    <n v="560.94200000000001"/>
    <x v="4"/>
    <s v="T73-S-D1"/>
    <s v="PALF"/>
    <s v="Wildcat 2025"/>
    <s v="CONGO"/>
    <m/>
    <m/>
    <m/>
  </r>
  <r>
    <d v="2025-09-29T00:00:00"/>
    <s v="taxi : centre ville - mont fleury (extraction)"/>
    <x v="0"/>
    <x v="3"/>
    <n v="1000"/>
    <n v="1.7827155035636482"/>
    <n v="560.94200000000001"/>
    <x v="4"/>
    <s v="T73-S-D1"/>
    <s v="PALF"/>
    <s v="Wildcat 2025"/>
    <s v="CONGO"/>
    <m/>
    <m/>
    <m/>
  </r>
  <r>
    <d v="2025-09-29T00:00:00"/>
    <s v="taxi : mont fleury - la gare centrale(extraction)"/>
    <x v="0"/>
    <x v="3"/>
    <n v="1000"/>
    <n v="1.7827155035636482"/>
    <n v="560.94200000000001"/>
    <x v="4"/>
    <s v="T73-S-D1"/>
    <s v="PALF"/>
    <s v="Wildcat 2025"/>
    <s v="CONGO"/>
    <m/>
    <m/>
    <m/>
  </r>
  <r>
    <d v="2025-09-29T00:00:00"/>
    <s v="taxi : la gare centrale - grand marché (extraction)"/>
    <x v="0"/>
    <x v="3"/>
    <n v="1000"/>
    <n v="1.7827155035636482"/>
    <n v="560.94200000000001"/>
    <x v="4"/>
    <s v="T73-S-D1"/>
    <s v="PALF"/>
    <s v="Wildcat 2025"/>
    <s v="CONGO"/>
    <m/>
    <m/>
    <m/>
  </r>
  <r>
    <d v="2025-09-29T00:00:00"/>
    <s v="taxi : grand marché - hotel pharaon (fin de journée)"/>
    <x v="0"/>
    <x v="3"/>
    <n v="1000"/>
    <n v="1.7827155035636482"/>
    <n v="560.94200000000001"/>
    <x v="4"/>
    <s v="T73-S-D1"/>
    <s v="PALF"/>
    <s v="Wildcat 2025"/>
    <s v="CONGO"/>
    <m/>
    <m/>
    <m/>
  </r>
  <r>
    <d v="2025-09-29T00:00:00"/>
    <s v="achat boissons et nourriture/3 cibles"/>
    <x v="11"/>
    <x v="3"/>
    <n v="12500"/>
    <n v="22.283943794545603"/>
    <n v="560.94200000000001"/>
    <x v="4"/>
    <s v="T73-S-D3"/>
    <s v="PALF"/>
    <s v="Wildcat 2025"/>
    <s v="CONGO"/>
    <m/>
    <m/>
    <m/>
  </r>
  <r>
    <d v="2025-09-29T00:00:00"/>
    <s v="Credit telephonique MTN PALF/ du 29 septembre au 05 octobre 2025/ Investigation/T73"/>
    <x v="1"/>
    <x v="3"/>
    <n v="10000"/>
    <n v="17.827155035636483"/>
    <n v="560.94200000000001"/>
    <x v="4"/>
    <s v="T73-S-R10"/>
    <s v="PALF"/>
    <s v="Wildcat 2025"/>
    <s v="CONGO"/>
    <m/>
    <m/>
    <m/>
  </r>
  <r>
    <d v="2025-09-29T00:00:00"/>
    <s v="Credit telephonique MTN PALF/du 29 septembre au 05 octobre 2025/IT87"/>
    <x v="1"/>
    <x v="3"/>
    <n v="10000"/>
    <n v="17.827155035636483"/>
    <n v="560.94200000000001"/>
    <x v="5"/>
    <s v="IT87-S-R11"/>
    <s v="PALF"/>
    <s v="Wildcat 2025"/>
    <s v="CONGO"/>
    <m/>
    <m/>
    <m/>
  </r>
  <r>
    <d v="2025-09-29T00:00:00"/>
    <s v="Credit telephonique MTN PALF/du 29 septembre au 05 octobre 2025/G12"/>
    <x v="1"/>
    <x v="3"/>
    <n v="10000"/>
    <n v="17.827155035636483"/>
    <n v="560.94200000000001"/>
    <x v="6"/>
    <s v="G12-S-R4"/>
    <s v="PALF"/>
    <s v="Wildcat 2025"/>
    <s v="CONGO"/>
    <m/>
    <m/>
    <m/>
  </r>
  <r>
    <d v="2025-09-29T00:00:00"/>
    <s v="Credit telephonique MTN PALF/ du 29 septembre au 05 octobre 2025/Abraham"/>
    <x v="1"/>
    <x v="1"/>
    <n v="7500"/>
    <n v="13.370366276727362"/>
    <n v="560.94200000000001"/>
    <x v="7"/>
    <s v="AB-S-R4"/>
    <s v="PALF"/>
    <s v="Wildcat 2025"/>
    <s v="CONGO"/>
    <m/>
    <m/>
    <m/>
  </r>
  <r>
    <d v="2025-09-29T00:00:00"/>
    <s v="Credit telephonique MTN PALF/du 29 Septembre au 05 octobre 2025/Roderlin"/>
    <x v="1"/>
    <x v="1"/>
    <n v="7500"/>
    <n v="13.370366276727362"/>
    <n v="560.94200000000001"/>
    <x v="8"/>
    <s v="RO-S-R8"/>
    <s v="PALF"/>
    <s v="Wildcat 2025"/>
    <s v="CONGO"/>
    <m/>
    <m/>
    <m/>
  </r>
  <r>
    <d v="2025-09-29T00:00:00"/>
    <s v="Taxi Domicile-Agence Trans Bony de la frontière/ Pour Dolisie"/>
    <x v="4"/>
    <x v="1"/>
    <n v="1000"/>
    <n v="1.7827155035636482"/>
    <n v="560.94200000000001"/>
    <x v="9"/>
    <s v="DR-S-D1"/>
    <s v="PALF"/>
    <s v="Wildcat 2025"/>
    <s v="CONGO"/>
    <m/>
    <m/>
    <m/>
  </r>
  <r>
    <d v="2025-09-29T00:00:00"/>
    <s v="Credit telephonique MTN PALF/ du 29 au 05  septembre 2025"/>
    <x v="1"/>
    <x v="1"/>
    <n v="10000"/>
    <n v="17.827155035636483"/>
    <n v="560.94200000000001"/>
    <x v="9"/>
    <s v="DR-S-R9"/>
    <s v="PALF"/>
    <s v="Wildcat 2025"/>
    <s v="CONGO"/>
    <m/>
    <m/>
    <m/>
  </r>
  <r>
    <d v="2025-09-29T00:00:00"/>
    <s v="Taxi Agence Trans Bony de Dolisie-Hôtel Yasmine/ Crepin/ Evariste/Dovi/Donald"/>
    <x v="4"/>
    <x v="1"/>
    <n v="1000"/>
    <n v="1.7827155035636482"/>
    <n v="560.94200000000001"/>
    <x v="9"/>
    <s v="DR-S-D1"/>
    <s v="PALF"/>
    <s v="Wildcat 2025"/>
    <s v="CONGO"/>
    <m/>
    <m/>
    <m/>
  </r>
  <r>
    <d v="2025-09-29T00:00:00"/>
    <s v="Donald-Roméo CONGO Ration  du  29/09 au 05/10/2025 à Dolisie"/>
    <x v="2"/>
    <x v="1"/>
    <n v="60000"/>
    <n v="106.96293021381889"/>
    <n v="560.94200000000001"/>
    <x v="9"/>
    <s v="DR-S-D3"/>
    <s v="PALF"/>
    <s v="Wildcat 2025"/>
    <s v="CONGO"/>
    <m/>
    <m/>
    <m/>
  </r>
  <r>
    <d v="2025-09-29T00:00:00"/>
    <s v="Taxi, Domicile-Agence Trans Bony de Brazzaville"/>
    <x v="0"/>
    <x v="4"/>
    <n v="1000"/>
    <n v="1.7827155035636482"/>
    <n v="560.94200000000001"/>
    <x v="10"/>
    <s v="EV-S-D1"/>
    <s v="PALF"/>
    <s v="Wildcat 2025"/>
    <s v="CONGO"/>
    <m/>
    <m/>
    <m/>
  </r>
  <r>
    <d v="2025-09-29T00:00:00"/>
    <s v="Credit telephonique MTN PALF/du 29 septembre au 05 octobre 2025/ Evariste"/>
    <x v="1"/>
    <x v="4"/>
    <n v="10000"/>
    <n v="17.827155035636483"/>
    <n v="560.94200000000001"/>
    <x v="10"/>
    <s v="EV-S-R10"/>
    <s v="PALF"/>
    <s v="Wildcat 2025"/>
    <s v="CONGO"/>
    <m/>
    <m/>
    <m/>
  </r>
  <r>
    <d v="2025-09-29T00:00:00"/>
    <s v="EVARISTE- CONGO Ration du 29 septembre au 05 octobre 2025 à Dolisie"/>
    <x v="2"/>
    <x v="4"/>
    <n v="60000"/>
    <n v="106.96293021381889"/>
    <n v="560.94200000000001"/>
    <x v="10"/>
    <s v="EV-S-D2"/>
    <s v="PALF"/>
    <s v="Wildcat 2025"/>
    <s v="CONGO"/>
    <m/>
    <m/>
    <m/>
  </r>
  <r>
    <d v="2025-09-29T00:00:00"/>
    <s v="Taxi: Bureau-Station PUMA Service pour l'achat du carburant"/>
    <x v="0"/>
    <x v="1"/>
    <n v="1500"/>
    <n v="2.6740732553454722"/>
    <n v="560.94200000000001"/>
    <x v="11"/>
    <s v="RM-S-D1"/>
    <s v="PALF"/>
    <s v="Wildcat 2025"/>
    <s v="CONGO"/>
    <m/>
    <m/>
    <m/>
  </r>
  <r>
    <d v="2025-09-29T00:00:00"/>
    <s v="Taxi: Station PUMA Service"/>
    <x v="0"/>
    <x v="1"/>
    <n v="1500"/>
    <n v="2.6740732553454722"/>
    <n v="560.94200000000001"/>
    <x v="11"/>
    <s v="RM-S-D1"/>
    <s v="PALF"/>
    <s v="Wildcat 2025"/>
    <s v="CONGO"/>
    <m/>
    <m/>
    <m/>
  </r>
  <r>
    <d v="2025-09-29T00:00:00"/>
    <s v="Achat carburant groupe electrogène Bureau "/>
    <x v="12"/>
    <x v="2"/>
    <n v="15625"/>
    <n v="27.854929743182005"/>
    <n v="560.94200000000001"/>
    <x v="11"/>
    <s v="CA-S-R23"/>
    <s v="PALF"/>
    <s v="Wildcat 2025"/>
    <s v="CONGO"/>
    <m/>
    <m/>
    <m/>
  </r>
  <r>
    <d v="2025-09-29T00:00:00"/>
    <s v="Credit telephonique MTN PALF/du 29 Septembre au 05 Octobre 2025/Romain"/>
    <x v="1"/>
    <x v="1"/>
    <n v="7500"/>
    <n v="13.370366276727362"/>
    <n v="560.94200000000001"/>
    <x v="11"/>
    <s v="RM-S-R4"/>
    <s v="PALF"/>
    <s v="Wildcat 2025"/>
    <s v="CONGO"/>
    <m/>
    <m/>
    <m/>
  </r>
  <r>
    <d v="2025-09-29T00:00:00"/>
    <s v="RAPATRIEME01100 RAO00010914/Fondation Wildcat"/>
    <x v="14"/>
    <x v="6"/>
    <m/>
    <n v="0"/>
    <n v="533.50316666666663"/>
    <x v="12"/>
    <s v="BQ-S-G1"/>
    <s v="PALF"/>
    <s v="Wildcat 2025"/>
    <s v="CONGO"/>
    <n v="266752"/>
    <n v="500"/>
    <m/>
  </r>
  <r>
    <d v="2025-09-29T00:00:00"/>
    <s v="RAPATRIEME01100 RAO00010914/Fondation de la Famille Dahan(DFF)"/>
    <x v="14"/>
    <x v="6"/>
    <m/>
    <n v="0"/>
    <n v="533.50309090909093"/>
    <x v="12"/>
    <s v="BQ-S-G2"/>
    <s v="PALF"/>
    <s v="Dahan"/>
    <s v="CONGO"/>
    <n v="2934267"/>
    <n v="5500"/>
    <m/>
  </r>
  <r>
    <d v="2025-09-29T00:00:00"/>
    <s v="RAPATRIEME01100 RAO00010914/Fondation OAT"/>
    <x v="14"/>
    <x v="6"/>
    <m/>
    <n v="0"/>
    <n v="533.50316666666663"/>
    <x v="12"/>
    <s v="BQ-S-G3"/>
    <s v="PALF"/>
    <s v="OAT"/>
    <s v="CONGO"/>
    <n v="3201019"/>
    <n v="6000"/>
    <m/>
  </r>
  <r>
    <d v="2025-09-30T00:00:00"/>
    <s v="Taxi:  Bureau-Banque BCI/ Retrait espèce"/>
    <x v="0"/>
    <x v="2"/>
    <n v="1000"/>
    <n v="1.7827155035636482"/>
    <n v="560.94200000000001"/>
    <x v="2"/>
    <s v="P-S-D1"/>
    <s v="PALF"/>
    <s v="Wildcat 2025"/>
    <s v="CONGO"/>
    <m/>
    <m/>
    <m/>
  </r>
  <r>
    <d v="2025-09-30T00:00:00"/>
    <s v="Taxi:  Banque BCI -Agence western union/ transfert d'argent à Jana et Lydia"/>
    <x v="0"/>
    <x v="2"/>
    <n v="500"/>
    <n v="0.89135775178182408"/>
    <n v="560.94200000000001"/>
    <x v="2"/>
    <s v="P-S-D1"/>
    <s v="PALF"/>
    <s v="Wildcat 2025"/>
    <s v="CONGO"/>
    <m/>
    <m/>
    <m/>
  </r>
  <r>
    <d v="2025-09-30T00:00:00"/>
    <s v="Taxi: Agence western union-Bureau"/>
    <x v="0"/>
    <x v="2"/>
    <n v="1000"/>
    <n v="1.7827155035636482"/>
    <n v="560.94200000000001"/>
    <x v="2"/>
    <s v="P-S-D1"/>
    <s v="PALF"/>
    <s v="Wildcat 2025"/>
    <s v="CONGO"/>
    <m/>
    <m/>
    <m/>
  </r>
  <r>
    <d v="2025-09-30T00:00:00"/>
    <s v="Taxi:Bureau- Direction Canal Box/ Paiement internet du mois d'octobre 2025"/>
    <x v="0"/>
    <x v="2"/>
    <n v="1000"/>
    <n v="1.7827155035636482"/>
    <n v="560.94200000000001"/>
    <x v="2"/>
    <s v="P-S-D1"/>
    <s v="PALF"/>
    <s v="Wildcat 2025"/>
    <s v="CONGO"/>
    <m/>
    <m/>
    <m/>
  </r>
  <r>
    <d v="2025-09-30T00:00:00"/>
    <s v="Frais de tansfert d'argent  à Jana et Lydia"/>
    <x v="3"/>
    <x v="2"/>
    <n v="122074"/>
    <n v="217.62321238202881"/>
    <n v="560.94200000000001"/>
    <x v="2"/>
    <s v="CA-S-R24"/>
    <s v="PALF"/>
    <s v="Wildcat 2025"/>
    <s v="CONGO"/>
    <m/>
    <m/>
    <m/>
  </r>
  <r>
    <d v="2025-09-30T00:00:00"/>
    <s v="Reglement facture internet periode du 01/10 au 31/10/2025 bureau PALF"/>
    <x v="15"/>
    <x v="2"/>
    <n v="45050"/>
    <n v="80.311333435542352"/>
    <n v="560.94200000000001"/>
    <x v="2"/>
    <s v="CA-S-R25"/>
    <s v="PALF"/>
    <s v="Wildcat 2025"/>
    <s v="CONGO"/>
    <m/>
    <m/>
    <m/>
  </r>
  <r>
    <d v="2025-09-30T00:00:00"/>
    <s v="Taxi: Direction Canal Box-Bureau/ Paiement internet du mois d'octobre 2025"/>
    <x v="0"/>
    <x v="2"/>
    <n v="1000"/>
    <n v="1.7827155035636482"/>
    <n v="560.94200000000001"/>
    <x v="2"/>
    <s v="P-S-D1"/>
    <s v="PALF"/>
    <s v="Wildcat 2025"/>
    <s v="CONGO"/>
    <m/>
    <m/>
    <m/>
  </r>
  <r>
    <d v="2025-09-30T00:00:00"/>
    <s v="P29 -CONGO Frais d'hotel du 04 au 30/09/2025 à  Dolisie (26 Nuitées)"/>
    <x v="2"/>
    <x v="3"/>
    <n v="390000"/>
    <n v="695.25904638982286"/>
    <n v="560.94200000000001"/>
    <x v="3"/>
    <s v="P29-S-R11"/>
    <s v="PALF"/>
    <s v="Wildcat 2025"/>
    <s v="CONGO"/>
    <m/>
    <m/>
    <m/>
  </r>
  <r>
    <d v="2025-09-30T00:00:00"/>
    <s v="Taxi hotel mabedi-hotel yasmine,reunion avec le coordinateur"/>
    <x v="0"/>
    <x v="3"/>
    <n v="1000"/>
    <n v="1.7827155035636482"/>
    <n v="560.94200000000001"/>
    <x v="3"/>
    <s v="P29-S-D1"/>
    <s v="PALF"/>
    <s v="Wildcat 2025"/>
    <s v="CONGO"/>
    <m/>
    <m/>
    <m/>
  </r>
  <r>
    <d v="2025-09-30T00:00:00"/>
    <s v="Taxi hotel yasmine-hotel mabidi"/>
    <x v="0"/>
    <x v="3"/>
    <n v="1000"/>
    <n v="1.7827155035636482"/>
    <n v="560.94200000000001"/>
    <x v="3"/>
    <s v="P29-S-D1"/>
    <s v="PALF"/>
    <s v="Wildcat 2025"/>
    <s v="CONGO"/>
    <m/>
    <m/>
    <m/>
  </r>
  <r>
    <d v="2025-09-30T00:00:00"/>
    <s v=" Taxi :hotel pharaon - hotel yasmine ( rendez vous avec le coordo)"/>
    <x v="0"/>
    <x v="3"/>
    <n v="1000"/>
    <n v="1.7827155035636482"/>
    <n v="560.94200000000001"/>
    <x v="4"/>
    <s v="T73-S-D1"/>
    <s v="PALF"/>
    <s v="Wildcat 2025"/>
    <s v="CONGO"/>
    <m/>
    <m/>
    <m/>
  </r>
  <r>
    <d v="2025-09-30T00:00:00"/>
    <s v=" Taxi : hotel yasmine - hotel pharaon( rendez vous avec le coordo)"/>
    <x v="0"/>
    <x v="3"/>
    <n v="1000"/>
    <n v="1.7827155035636482"/>
    <n v="560.94200000000001"/>
    <x v="4"/>
    <s v="T73-S-D1"/>
    <s v="PALF"/>
    <s v="Wildcat 2025"/>
    <s v="CONGO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4" applyNumberFormats="0" applyBorderFormats="0" applyFontFormats="0" applyPatternFormats="0" applyAlignmentFormats="0" applyWidthHeightFormats="1" dataCaption="Valeurs" updatedVersion="7" minRefreshableVersion="3" useAutoFormatting="1" itemPrintTitles="1" createdVersion="6" indent="0" outline="1" outlineData="1" multipleFieldFilters="0">
  <location ref="B2:C16" firstHeaderRow="1" firstDataRow="1" firstDataCol="1"/>
  <pivotFields count="15">
    <pivotField showAll="0"/>
    <pivotField showAll="0"/>
    <pivotField showAll="0"/>
    <pivotField showAll="0"/>
    <pivotField dataField="1" showAll="0"/>
    <pivotField showAll="0"/>
    <pivotField showAll="0"/>
    <pivotField axis="axisRow" showAll="0">
      <items count="15">
        <item x="7"/>
        <item x="12"/>
        <item m="1" x="13"/>
        <item x="9"/>
        <item x="0"/>
        <item x="10"/>
        <item x="2"/>
        <item x="8"/>
        <item x="11"/>
        <item x="3"/>
        <item x="4"/>
        <item x="5"/>
        <item x="6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</pivotFields>
  <rowFields count="1">
    <field x="7"/>
  </rowFields>
  <rowItems count="14">
    <i>
      <x/>
    </i>
    <i>
      <x v="1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rowItems>
  <colItems count="1">
    <i/>
  </colItems>
  <dataFields count="1">
    <dataField name="Somme de Spent  in XAF" fld="4" baseField="7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leau croisé dynamique2" cacheId="2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B2:D19" firstHeaderRow="0" firstDataRow="1" firstDataCol="1"/>
  <pivotFields count="10">
    <pivotField numFmtId="14" showAll="0"/>
    <pivotField showAll="0"/>
    <pivotField showAll="0"/>
    <pivotField showAll="0"/>
    <pivotField dataField="1" showAll="0"/>
    <pivotField dataField="1" showAll="0"/>
    <pivotField numFmtId="168" showAll="0"/>
    <pivotField axis="axisRow" showAll="0">
      <items count="17">
        <item x="7"/>
        <item x="1"/>
        <item x="5"/>
        <item x="12"/>
        <item x="11"/>
        <item x="14"/>
        <item x="10"/>
        <item x="8"/>
        <item x="4"/>
        <item x="2"/>
        <item x="3"/>
        <item x="13"/>
        <item x="9"/>
        <item x="0"/>
        <item x="6"/>
        <item x="15"/>
        <item t="default"/>
      </items>
    </pivotField>
    <pivotField showAll="0"/>
    <pivotField showAll="0"/>
  </pivotFields>
  <rowFields count="1">
    <field x="7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Fields count="1">
    <field x="-2"/>
  </colFields>
  <colItems count="2">
    <i>
      <x/>
    </i>
    <i i="1">
      <x v="1"/>
    </i>
  </colItems>
  <dataFields count="2">
    <dataField name="Somme de Spent " fld="4" baseField="7" baseItem="0"/>
    <dataField name="Somme de Received" fld="5" baseField="7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Tableau croisé dynamique3" cacheId="4" applyNumberFormats="0" applyBorderFormats="0" applyFontFormats="0" applyPatternFormats="0" applyAlignmentFormats="0" applyWidthHeightFormats="1" dataCaption="Valeurs" updatedVersion="7" minRefreshableVersion="3" useAutoFormatting="1" itemPrintTitles="1" createdVersion="6" indent="0" outline="1" outlineData="1" multipleFieldFilters="0">
  <location ref="B2:S11" firstHeaderRow="1" firstDataRow="2" firstDataCol="1"/>
  <pivotFields count="15">
    <pivotField showAll="0"/>
    <pivotField showAll="0"/>
    <pivotField axis="axisCol" showAll="0">
      <items count="18">
        <item x="10"/>
        <item x="14"/>
        <item x="15"/>
        <item x="5"/>
        <item x="12"/>
        <item x="6"/>
        <item x="9"/>
        <item x="8"/>
        <item x="1"/>
        <item x="3"/>
        <item x="0"/>
        <item x="4"/>
        <item x="2"/>
        <item x="11"/>
        <item m="1" x="16"/>
        <item x="7"/>
        <item x="13"/>
        <item t="default"/>
      </items>
    </pivotField>
    <pivotField axis="axisRow" showAll="0">
      <items count="8">
        <item x="3"/>
        <item x="1"/>
        <item x="0"/>
        <item x="4"/>
        <item x="2"/>
        <item x="6"/>
        <item x="5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2"/>
  </colFields>
  <col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5"/>
    </i>
    <i>
      <x v="16"/>
    </i>
    <i t="grand">
      <x/>
    </i>
  </colItems>
  <dataFields count="1">
    <dataField name="Somme de Spent  in XAF" fld="4" baseField="3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Tableau croisé dynamique1" cacheId="3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K2:O33" firstHeaderRow="0" firstDataRow="1" firstDataCol="1"/>
  <pivotFields count="16">
    <pivotField axis="axisRow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showAll="0"/>
    <pivotField showAll="0"/>
    <pivotField dataField="1" showAll="0">
      <items count="349">
        <item x="287"/>
        <item x="310"/>
        <item x="294"/>
        <item x="129"/>
        <item x="332"/>
        <item x="295"/>
        <item x="270"/>
        <item x="24"/>
        <item x="241"/>
        <item x="120"/>
        <item x="276"/>
        <item x="155"/>
        <item x="16"/>
        <item x="308"/>
        <item x="110"/>
        <item x="106"/>
        <item x="70"/>
        <item x="158"/>
        <item x="341"/>
        <item x="75"/>
        <item x="243"/>
        <item x="307"/>
        <item x="344"/>
        <item x="67"/>
        <item x="311"/>
        <item x="228"/>
        <item x="214"/>
        <item x="231"/>
        <item x="54"/>
        <item x="306"/>
        <item x="340"/>
        <item x="309"/>
        <item x="251"/>
        <item x="240"/>
        <item x="322"/>
        <item x="101"/>
        <item x="103"/>
        <item x="147"/>
        <item x="194"/>
        <item x="98"/>
        <item x="237"/>
        <item x="99"/>
        <item x="229"/>
        <item x="31"/>
        <item x="123"/>
        <item x="198"/>
        <item x="269"/>
        <item x="263"/>
        <item x="207"/>
        <item x="63"/>
        <item x="41"/>
        <item x="168"/>
        <item x="159"/>
        <item x="42"/>
        <item x="12"/>
        <item x="133"/>
        <item x="337"/>
        <item x="55"/>
        <item x="167"/>
        <item x="336"/>
        <item x="329"/>
        <item x="37"/>
        <item x="26"/>
        <item x="325"/>
        <item x="33"/>
        <item x="144"/>
        <item x="176"/>
        <item x="164"/>
        <item x="94"/>
        <item x="327"/>
        <item x="36"/>
        <item x="40"/>
        <item x="27"/>
        <item x="124"/>
        <item x="142"/>
        <item x="4"/>
        <item x="323"/>
        <item x="34"/>
        <item x="119"/>
        <item x="72"/>
        <item x="125"/>
        <item x="6"/>
        <item x="255"/>
        <item x="112"/>
        <item x="342"/>
        <item x="305"/>
        <item x="161"/>
        <item x="171"/>
        <item x="45"/>
        <item x="48"/>
        <item x="195"/>
        <item x="156"/>
        <item x="314"/>
        <item x="242"/>
        <item x="65"/>
        <item x="100"/>
        <item x="130"/>
        <item x="256"/>
        <item x="115"/>
        <item x="200"/>
        <item x="53"/>
        <item x="160"/>
        <item x="117"/>
        <item x="199"/>
        <item x="333"/>
        <item x="64"/>
        <item x="247"/>
        <item x="268"/>
        <item x="345"/>
        <item x="5"/>
        <item x="187"/>
        <item x="249"/>
        <item x="69"/>
        <item x="122"/>
        <item x="153"/>
        <item x="343"/>
        <item x="165"/>
        <item x="39"/>
        <item x="248"/>
        <item x="157"/>
        <item x="0"/>
        <item x="193"/>
        <item x="1"/>
        <item x="56"/>
        <item x="221"/>
        <item x="254"/>
        <item x="273"/>
        <item x="274"/>
        <item x="15"/>
        <item x="234"/>
        <item x="316"/>
        <item x="213"/>
        <item x="233"/>
        <item x="151"/>
        <item x="334"/>
        <item x="82"/>
        <item x="50"/>
        <item x="7"/>
        <item x="246"/>
        <item x="84"/>
        <item x="51"/>
        <item x="258"/>
        <item x="128"/>
        <item x="217"/>
        <item x="335"/>
        <item x="189"/>
        <item x="174"/>
        <item x="252"/>
        <item x="127"/>
        <item x="44"/>
        <item x="183"/>
        <item x="28"/>
        <item x="211"/>
        <item x="196"/>
        <item x="312"/>
        <item x="76"/>
        <item x="19"/>
        <item x="280"/>
        <item x="304"/>
        <item x="188"/>
        <item x="81"/>
        <item x="208"/>
        <item x="278"/>
        <item x="29"/>
        <item x="131"/>
        <item x="197"/>
        <item x="264"/>
        <item x="303"/>
        <item x="210"/>
        <item x="88"/>
        <item x="80"/>
        <item x="284"/>
        <item x="77"/>
        <item x="102"/>
        <item x="145"/>
        <item x="126"/>
        <item x="222"/>
        <item x="86"/>
        <item x="175"/>
        <item x="215"/>
        <item x="92"/>
        <item x="236"/>
        <item x="235"/>
        <item x="177"/>
        <item x="22"/>
        <item x="87"/>
        <item x="286"/>
        <item x="261"/>
        <item x="225"/>
        <item x="179"/>
        <item x="138"/>
        <item x="230"/>
        <item x="212"/>
        <item x="250"/>
        <item x="285"/>
        <item x="181"/>
        <item x="30"/>
        <item x="185"/>
        <item x="173"/>
        <item x="186"/>
        <item x="135"/>
        <item x="78"/>
        <item x="111"/>
        <item x="339"/>
        <item x="209"/>
        <item x="220"/>
        <item x="154"/>
        <item x="253"/>
        <item x="259"/>
        <item x="20"/>
        <item x="218"/>
        <item x="23"/>
        <item x="182"/>
        <item x="283"/>
        <item x="71"/>
        <item x="95"/>
        <item x="79"/>
        <item x="245"/>
        <item x="139"/>
        <item x="204"/>
        <item x="299"/>
        <item x="136"/>
        <item x="134"/>
        <item x="192"/>
        <item x="118"/>
        <item x="313"/>
        <item x="232"/>
        <item x="21"/>
        <item x="74"/>
        <item x="298"/>
        <item x="296"/>
        <item x="38"/>
        <item x="224"/>
        <item x="149"/>
        <item x="93"/>
        <item x="116"/>
        <item x="73"/>
        <item x="267"/>
        <item x="17"/>
        <item x="108"/>
        <item x="281"/>
        <item x="180"/>
        <item x="324"/>
        <item x="3"/>
        <item x="238"/>
        <item x="184"/>
        <item x="35"/>
        <item x="162"/>
        <item x="104"/>
        <item x="239"/>
        <item x="2"/>
        <item x="260"/>
        <item x="13"/>
        <item x="169"/>
        <item x="203"/>
        <item x="46"/>
        <item x="202"/>
        <item x="266"/>
        <item x="148"/>
        <item x="328"/>
        <item x="300"/>
        <item x="291"/>
        <item x="32"/>
        <item x="190"/>
        <item x="346"/>
        <item x="227"/>
        <item x="292"/>
        <item x="257"/>
        <item x="68"/>
        <item x="206"/>
        <item x="107"/>
        <item x="114"/>
        <item x="143"/>
        <item x="279"/>
        <item x="137"/>
        <item x="166"/>
        <item x="216"/>
        <item x="83"/>
        <item x="11"/>
        <item x="52"/>
        <item x="262"/>
        <item x="293"/>
        <item x="302"/>
        <item x="18"/>
        <item x="265"/>
        <item x="146"/>
        <item x="105"/>
        <item x="85"/>
        <item x="282"/>
        <item x="43"/>
        <item x="290"/>
        <item x="113"/>
        <item x="132"/>
        <item x="97"/>
        <item x="172"/>
        <item x="49"/>
        <item x="223"/>
        <item x="58"/>
        <item x="121"/>
        <item x="275"/>
        <item x="326"/>
        <item x="163"/>
        <item x="14"/>
        <item x="109"/>
        <item x="318"/>
        <item x="96"/>
        <item x="62"/>
        <item x="66"/>
        <item x="25"/>
        <item x="89"/>
        <item x="205"/>
        <item x="317"/>
        <item x="10"/>
        <item x="321"/>
        <item x="338"/>
        <item x="170"/>
        <item x="191"/>
        <item x="8"/>
        <item x="331"/>
        <item x="244"/>
        <item x="320"/>
        <item x="90"/>
        <item x="61"/>
        <item x="315"/>
        <item x="272"/>
        <item x="201"/>
        <item x="301"/>
        <item x="178"/>
        <item x="60"/>
        <item x="347"/>
        <item x="319"/>
        <item x="152"/>
        <item x="91"/>
        <item x="140"/>
        <item x="277"/>
        <item x="226"/>
        <item x="330"/>
        <item x="219"/>
        <item x="141"/>
        <item x="9"/>
        <item x="289"/>
        <item x="271"/>
        <item x="59"/>
        <item x="288"/>
        <item x="297"/>
        <item x="57"/>
        <item x="150"/>
        <item x="47"/>
        <item t="default"/>
      </items>
    </pivotField>
    <pivotField dataField="1" showAll="0">
      <items count="736">
        <item x="560"/>
        <item x="233"/>
        <item x="639"/>
        <item x="618"/>
        <item x="585"/>
        <item x="682"/>
        <item x="174"/>
        <item x="695"/>
        <item x="587"/>
        <item x="698"/>
        <item x="531"/>
        <item x="25"/>
        <item x="559"/>
        <item x="608"/>
        <item x="584"/>
        <item x="571"/>
        <item x="678"/>
        <item x="156"/>
        <item x="475"/>
        <item x="652"/>
        <item x="520"/>
        <item x="614"/>
        <item x="580"/>
        <item x="702"/>
        <item x="543"/>
        <item x="258"/>
        <item x="16"/>
        <item x="134"/>
        <item x="128"/>
        <item x="80"/>
        <item x="149"/>
        <item x="229"/>
        <item x="635"/>
        <item x="355"/>
        <item x="273"/>
        <item x="554"/>
        <item x="615"/>
        <item x="579"/>
        <item x="697"/>
        <item x="85"/>
        <item x="725"/>
        <item x="616"/>
        <item x="478"/>
        <item x="694"/>
        <item x="124"/>
        <item x="634"/>
        <item x="76"/>
        <item x="365"/>
        <item x="298"/>
        <item x="729"/>
        <item x="456"/>
        <item x="644"/>
        <item x="415"/>
        <item x="388"/>
        <item x="59"/>
        <item x="430"/>
        <item x="582"/>
        <item x="701"/>
        <item x="642"/>
        <item x="633"/>
        <item x="140"/>
        <item x="721"/>
        <item x="636"/>
        <item x="492"/>
        <item x="118"/>
        <item x="722"/>
        <item x="474"/>
        <item x="356"/>
        <item x="428"/>
        <item x="120"/>
        <item x="256"/>
        <item x="170"/>
        <item x="666"/>
        <item x="453"/>
        <item x="638"/>
        <item x="241"/>
        <item x="346"/>
        <item x="723"/>
        <item x="115"/>
        <item x="116"/>
        <item x="138"/>
        <item x="162"/>
        <item x="69"/>
        <item x="462"/>
        <item x="418"/>
        <item x="361"/>
        <item x="413"/>
        <item x="266"/>
        <item x="32"/>
        <item x="358"/>
        <item x="463"/>
        <item x="612"/>
        <item x="607"/>
        <item x="578"/>
        <item x="707"/>
        <item x="530"/>
        <item x="70"/>
        <item x="518"/>
        <item x="376"/>
        <item x="363"/>
        <item x="422"/>
        <item x="247"/>
        <item x="178"/>
        <item x="79"/>
        <item x="42"/>
        <item x="515"/>
        <item x="665"/>
        <item x="286"/>
        <item x="274"/>
        <item x="598"/>
        <item x="696"/>
        <item x="126"/>
        <item x="125"/>
        <item x="53"/>
        <item x="43"/>
        <item x="331"/>
        <item x="427"/>
        <item x="235"/>
        <item x="188"/>
        <item x="196"/>
        <item x="182"/>
        <item x="12"/>
        <item x="449"/>
        <item x="646"/>
        <item x="60"/>
        <item x="378"/>
        <item x="588"/>
        <item x="159"/>
        <item x="583"/>
        <item x="713"/>
        <item x="163"/>
        <item x="643"/>
        <item x="72"/>
        <item x="285"/>
        <item x="716"/>
        <item x="354"/>
        <item x="301"/>
        <item x="38"/>
        <item x="709"/>
        <item x="689"/>
        <item x="27"/>
        <item x="447"/>
        <item x="629"/>
        <item x="148"/>
        <item x="673"/>
        <item x="714"/>
        <item x="34"/>
        <item x="226"/>
        <item x="110"/>
        <item x="548"/>
        <item x="306"/>
        <item x="281"/>
        <item x="343"/>
        <item x="443"/>
        <item x="276"/>
        <item x="164"/>
        <item x="458"/>
        <item x="641"/>
        <item x="137"/>
        <item x="280"/>
        <item x="684"/>
        <item x="106"/>
        <item x="37"/>
        <item x="730"/>
        <item x="41"/>
        <item x="223"/>
        <item x="28"/>
        <item x="155"/>
        <item x="539"/>
        <item x="334"/>
        <item x="416"/>
        <item x="239"/>
        <item x="201"/>
        <item x="4"/>
        <item x="35"/>
        <item x="444"/>
        <item x="626"/>
        <item x="668"/>
        <item x="168"/>
        <item x="82"/>
        <item x="335"/>
        <item x="181"/>
        <item x="392"/>
        <item x="221"/>
        <item x="139"/>
        <item x="108"/>
        <item x="630"/>
        <item x="681"/>
        <item x="374"/>
        <item x="328"/>
        <item x="203"/>
        <item x="663"/>
        <item x="6"/>
        <item x="509"/>
        <item x="631"/>
        <item x="715"/>
        <item x="597"/>
        <item x="570"/>
        <item x="501"/>
        <item x="277"/>
        <item x="291"/>
        <item x="345"/>
        <item x="433"/>
        <item x="248"/>
        <item x="632"/>
        <item x="50"/>
        <item x="46"/>
        <item x="473"/>
        <item x="627"/>
        <item x="726"/>
        <item x="347"/>
        <item x="263"/>
        <item x="117"/>
        <item x="552"/>
        <item x="731"/>
        <item x="710"/>
        <item x="73"/>
        <item x="653"/>
        <item x="476"/>
        <item x="150"/>
        <item x="600"/>
        <item x="679"/>
        <item x="152"/>
        <item x="292"/>
        <item x="176"/>
        <item x="58"/>
        <item x="147"/>
        <item x="366"/>
        <item x="482"/>
        <item x="503"/>
        <item x="71"/>
        <item x="362"/>
        <item x="275"/>
        <item x="359"/>
        <item x="438"/>
        <item x="255"/>
        <item x="210"/>
        <item x="455"/>
        <item x="625"/>
        <item x="107"/>
        <item x="485"/>
        <item x="412"/>
        <item x="240"/>
        <item x="202"/>
        <item x="526"/>
        <item x="699"/>
        <item x="732"/>
        <item x="5"/>
        <item x="703"/>
        <item x="498"/>
        <item x="322"/>
        <item x="160"/>
        <item x="78"/>
        <item x="487"/>
        <item x="300"/>
        <item x="191"/>
        <item x="253"/>
        <item x="507"/>
        <item x="131"/>
        <item x="282"/>
        <item x="52"/>
        <item x="271"/>
        <item x="367"/>
        <item x="432"/>
        <item x="40"/>
        <item x="264"/>
        <item x="171"/>
        <item x="208"/>
        <item x="0"/>
        <item x="341"/>
        <item x="61"/>
        <item x="486"/>
        <item x="62"/>
        <item x="728"/>
        <item x="452"/>
        <item x="640"/>
        <item x="411"/>
        <item x="269"/>
        <item x="401"/>
        <item x="1"/>
        <item x="586"/>
        <item x="496"/>
        <item x="497"/>
        <item x="537"/>
        <item x="15"/>
        <item x="538"/>
        <item x="387"/>
        <item x="161"/>
        <item x="451"/>
        <item x="92"/>
        <item x="441"/>
        <item x="656"/>
        <item x="251"/>
        <item x="111"/>
        <item x="190"/>
        <item x="94"/>
        <item x="342"/>
        <item x="434"/>
        <item x="257"/>
        <item x="209"/>
        <item x="54"/>
        <item x="55"/>
        <item x="375"/>
        <item x="7"/>
        <item x="483"/>
        <item x="620"/>
        <item x="417"/>
        <item x="484"/>
        <item x="674"/>
        <item x="706"/>
        <item x="397"/>
        <item x="502"/>
        <item x="173"/>
        <item x="603"/>
        <item x="727"/>
        <item x="506"/>
        <item x="423"/>
        <item x="457"/>
        <item x="325"/>
        <item x="135"/>
        <item x="302"/>
        <item x="517"/>
        <item x="172"/>
        <item x="49"/>
        <item x="493"/>
        <item x="337"/>
        <item x="414"/>
        <item x="708"/>
        <item x="445"/>
        <item x="237"/>
        <item x="187"/>
        <item x="206"/>
        <item x="318"/>
        <item x="45"/>
        <item x="272"/>
        <item x="448"/>
        <item x="645"/>
        <item x="385"/>
        <item x="350"/>
        <item x="29"/>
        <item x="511"/>
        <item x="590"/>
        <item x="86"/>
        <item x="91"/>
        <item x="712"/>
        <item x="19"/>
        <item x="436"/>
        <item x="647"/>
        <item x="323"/>
        <item x="547"/>
        <item x="193"/>
        <item x="581"/>
        <item x="711"/>
        <item x="122"/>
        <item x="628"/>
        <item x="454"/>
        <item x="379"/>
        <item x="305"/>
        <item x="177"/>
        <item x="30"/>
        <item x="545"/>
        <item x="352"/>
        <item x="657"/>
        <item x="98"/>
        <item x="90"/>
        <item x="521"/>
        <item x="384"/>
        <item x="169"/>
        <item x="724"/>
        <item x="87"/>
        <item x="617"/>
        <item x="119"/>
        <item x="175"/>
        <item x="338"/>
        <item x="499"/>
        <item x="96"/>
        <item x="313"/>
        <item x="228"/>
        <item x="718"/>
        <item x="402"/>
        <item x="555"/>
        <item x="103"/>
        <item x="527"/>
        <item x="671"/>
        <item x="304"/>
        <item x="395"/>
        <item x="329"/>
        <item x="442"/>
        <item x="512"/>
        <item x="287"/>
        <item x="145"/>
        <item x="307"/>
        <item x="123"/>
        <item x="97"/>
        <item x="461"/>
        <item x="360"/>
        <item x="421"/>
        <item x="403"/>
        <item x="460"/>
        <item x="238"/>
        <item x="192"/>
        <item x="205"/>
        <item x="317"/>
        <item x="179"/>
        <item x="23"/>
        <item x="519"/>
        <item x="406"/>
        <item x="500"/>
        <item x="672"/>
        <item x="312"/>
        <item x="198"/>
        <item x="426"/>
        <item x="158"/>
        <item x="557"/>
        <item x="513"/>
        <item x="386"/>
        <item x="604"/>
        <item x="99"/>
        <item x="315"/>
        <item x="353"/>
        <item x="270"/>
        <item x="225"/>
        <item x="491"/>
        <item x="320"/>
        <item x="556"/>
        <item x="31"/>
        <item x="446"/>
        <item x="637"/>
        <item x="549"/>
        <item x="299"/>
        <item x="321"/>
        <item x="88"/>
        <item x="186"/>
        <item x="705"/>
        <item x="377"/>
        <item x="558"/>
        <item x="265"/>
        <item x="136"/>
        <item x="381"/>
        <item x="400"/>
        <item x="254"/>
        <item x="75"/>
        <item x="495"/>
        <item x="398"/>
        <item x="440"/>
        <item x="311"/>
        <item x="184"/>
        <item x="719"/>
        <item x="508"/>
        <item x="21"/>
        <item x="81"/>
        <item x="24"/>
        <item x="316"/>
        <item x="112"/>
        <item x="89"/>
        <item x="472"/>
        <item x="685"/>
        <item x="211"/>
        <item x="553"/>
        <item x="154"/>
        <item x="533"/>
        <item x="371"/>
        <item x="204"/>
        <item x="693"/>
        <item x="143"/>
        <item x="480"/>
        <item x="189"/>
        <item x="340"/>
        <item x="185"/>
        <item x="288"/>
        <item x="109"/>
        <item x="431"/>
        <item x="344"/>
        <item x="246"/>
        <item x="648"/>
        <item x="151"/>
        <item x="601"/>
        <item x="22"/>
        <item x="84"/>
        <item x="405"/>
        <item x="104"/>
        <item x="249"/>
        <item x="514"/>
        <item x="39"/>
        <item x="83"/>
        <item x="199"/>
        <item x="424"/>
        <item x="261"/>
        <item x="195"/>
        <item x="394"/>
        <item x="303"/>
        <item x="183"/>
        <item x="504"/>
        <item x="596"/>
        <item x="589"/>
        <item x="481"/>
        <item x="651"/>
        <item x="57"/>
        <item x="489"/>
        <item x="667"/>
        <item x="130"/>
        <item x="357"/>
        <item x="439"/>
        <item x="17"/>
        <item x="599"/>
        <item x="525"/>
        <item x="450"/>
        <item x="314"/>
        <item x="550"/>
        <item x="105"/>
        <item x="669"/>
        <item x="327"/>
        <item x="200"/>
        <item x="3"/>
        <item x="351"/>
        <item x="319"/>
        <item x="268"/>
        <item x="278"/>
        <item x="36"/>
        <item x="121"/>
        <item x="469"/>
        <item x="677"/>
        <item x="141"/>
        <item x="330"/>
        <item x="207"/>
        <item x="2"/>
        <item x="700"/>
        <item x="471"/>
        <item x="153"/>
        <item x="227"/>
        <item x="289"/>
        <item x="13"/>
        <item x="510"/>
        <item x="370"/>
        <item x="477"/>
        <item x="670"/>
        <item x="380"/>
        <item x="234"/>
        <item x="166"/>
        <item x="369"/>
        <item x="47"/>
        <item x="650"/>
        <item x="244"/>
        <item x="575"/>
        <item x="524"/>
        <item x="688"/>
        <item x="267"/>
        <item x="33"/>
        <item x="332"/>
        <item x="146"/>
        <item x="77"/>
        <item x="602"/>
        <item x="409"/>
        <item x="686"/>
        <item x="129"/>
        <item x="733"/>
        <item x="373"/>
        <item x="574"/>
        <item x="505"/>
        <item x="245"/>
        <item x="680"/>
        <item x="540"/>
        <item x="224"/>
        <item x="364"/>
        <item x="459"/>
        <item x="293"/>
        <item x="576"/>
        <item x="197"/>
        <item x="546"/>
        <item x="490"/>
        <item x="654"/>
        <item x="167"/>
        <item x="283"/>
        <item x="165"/>
        <item x="396"/>
        <item x="93"/>
        <item x="132"/>
        <item x="11"/>
        <item x="230"/>
        <item x="348"/>
        <item x="429"/>
        <item x="56"/>
        <item x="242"/>
        <item x="20"/>
        <item x="308"/>
        <item x="464"/>
        <item x="649"/>
        <item x="516"/>
        <item x="577"/>
        <item x="144"/>
        <item x="18"/>
        <item x="683"/>
        <item x="236"/>
        <item x="610"/>
        <item x="127"/>
        <item x="488"/>
        <item x="664"/>
        <item x="522"/>
        <item x="95"/>
        <item x="142"/>
        <item x="232"/>
        <item x="339"/>
        <item x="420"/>
        <item x="231"/>
        <item x="44"/>
        <item x="284"/>
        <item x="523"/>
        <item x="611"/>
        <item x="551"/>
        <item x="180"/>
        <item x="114"/>
        <item x="621"/>
        <item x="51"/>
        <item x="704"/>
        <item x="262"/>
        <item x="573"/>
        <item x="297"/>
        <item x="64"/>
        <item x="619"/>
        <item x="404"/>
        <item x="157"/>
        <item x="349"/>
        <item x="410"/>
        <item x="260"/>
        <item x="194"/>
        <item x="213"/>
        <item x="534"/>
        <item x="467"/>
        <item x="622"/>
        <item x="333"/>
        <item x="437"/>
        <item x="592"/>
        <item x="564"/>
        <item x="133"/>
        <item x="113"/>
        <item x="279"/>
        <item x="541"/>
        <item x="390"/>
        <item x="675"/>
        <item x="14"/>
        <item x="294"/>
        <item x="68"/>
        <item x="529"/>
        <item x="74"/>
        <item x="659"/>
        <item x="466"/>
        <item x="296"/>
        <item x="216"/>
        <item x="408"/>
        <item x="606"/>
        <item x="591"/>
        <item x="100"/>
        <item x="687"/>
        <item x="26"/>
        <item x="563"/>
        <item x="10"/>
        <item x="494"/>
        <item x="382"/>
        <item x="324"/>
        <item x="372"/>
        <item x="219"/>
        <item x="595"/>
        <item x="567"/>
        <item x="425"/>
        <item x="326"/>
        <item x="220"/>
        <item x="542"/>
        <item x="676"/>
        <item x="658"/>
        <item x="528"/>
        <item x="613"/>
        <item x="290"/>
        <item x="662"/>
        <item x="562"/>
        <item x="336"/>
        <item x="717"/>
        <item x="383"/>
        <item x="419"/>
        <item x="259"/>
        <item x="222"/>
        <item x="8"/>
        <item x="470"/>
        <item x="624"/>
        <item x="594"/>
        <item x="566"/>
        <item x="479"/>
        <item x="101"/>
        <item x="67"/>
        <item x="692"/>
        <item x="661"/>
        <item x="655"/>
        <item x="368"/>
        <item x="536"/>
        <item x="66"/>
        <item x="310"/>
        <item x="215"/>
        <item x="691"/>
        <item x="102"/>
        <item x="252"/>
        <item x="605"/>
        <item x="572"/>
        <item x="734"/>
        <item x="660"/>
        <item x="217"/>
        <item x="561"/>
        <item x="544"/>
        <item x="407"/>
        <item x="720"/>
        <item x="399"/>
        <item x="218"/>
        <item x="690"/>
        <item x="9"/>
        <item x="393"/>
        <item x="435"/>
        <item x="309"/>
        <item x="212"/>
        <item x="532"/>
        <item x="609"/>
        <item x="65"/>
        <item x="391"/>
        <item x="295"/>
        <item x="214"/>
        <item x="535"/>
        <item x="569"/>
        <item x="468"/>
        <item x="565"/>
        <item x="568"/>
        <item x="593"/>
        <item x="63"/>
        <item x="389"/>
        <item x="243"/>
        <item x="465"/>
        <item x="623"/>
        <item x="250"/>
        <item x="48"/>
        <item t="default"/>
      </items>
    </pivotField>
    <pivotField showAll="0"/>
    <pivotField showAll="0"/>
    <pivotField showAll="0"/>
    <pivotField showAll="0"/>
    <pivotField axis="axisRow" showAll="0">
      <items count="9">
        <item x="7"/>
        <item x="6"/>
        <item x="1"/>
        <item x="3"/>
        <item x="2"/>
        <item x="4"/>
        <item x="0"/>
        <item x="5"/>
        <item t="default"/>
      </items>
    </pivotField>
    <pivotField showAll="0"/>
    <pivotField dataField="1" showAll="0">
      <items count="14">
        <item x="10"/>
        <item x="8"/>
        <item x="3"/>
        <item x="11"/>
        <item x="12"/>
        <item x="6"/>
        <item x="7"/>
        <item x="5"/>
        <item x="9"/>
        <item x="2"/>
        <item x="4"/>
        <item x="1"/>
        <item x="0"/>
        <item t="default"/>
      </items>
    </pivotField>
    <pivotField dataField="1" showAll="0">
      <items count="10">
        <item x="6"/>
        <item x="2"/>
        <item x="7"/>
        <item x="8"/>
        <item x="4"/>
        <item x="3"/>
        <item x="5"/>
        <item x="1"/>
        <item x="0"/>
        <item t="default"/>
      </items>
    </pivotField>
    <pivotField showAll="0"/>
    <pivotField axis="axisRow" showAll="0" defaultSubtotal="0">
      <items count="14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</items>
    </pivotField>
  </pivotFields>
  <rowFields count="3">
    <field x="10"/>
    <field x="15"/>
    <field x="0"/>
  </rowFields>
  <rowItems count="31">
    <i>
      <x/>
    </i>
    <i r="1">
      <x v="8"/>
    </i>
    <i r="1">
      <x v="9"/>
    </i>
    <i>
      <x v="1"/>
    </i>
    <i r="1">
      <x v="7"/>
    </i>
    <i>
      <x v="2"/>
    </i>
    <i r="1">
      <x v="2"/>
    </i>
    <i r="1">
      <x v="3"/>
    </i>
    <i r="1">
      <x v="4"/>
    </i>
    <i r="1">
      <x v="5"/>
    </i>
    <i r="1">
      <x v="6"/>
    </i>
    <i>
      <x v="3"/>
    </i>
    <i r="1">
      <x v="3"/>
    </i>
    <i r="1">
      <x v="4"/>
    </i>
    <i r="1">
      <x v="7"/>
    </i>
    <i r="1">
      <x v="9"/>
    </i>
    <i>
      <x v="4"/>
    </i>
    <i r="1">
      <x v="2"/>
    </i>
    <i>
      <x v="5"/>
    </i>
    <i r="1">
      <x v="3"/>
    </i>
    <i>
      <x v="6"/>
    </i>
    <i r="1">
      <x v="1"/>
    </i>
    <i r="1">
      <x v="2"/>
    </i>
    <i>
      <x v="7"/>
    </i>
    <i r="1">
      <x v="4"/>
    </i>
    <i r="1">
      <x v="5"/>
    </i>
    <i r="1">
      <x v="6"/>
    </i>
    <i r="1">
      <x v="7"/>
    </i>
    <i r="1">
      <x v="8"/>
    </i>
    <i r="1">
      <x v="9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omme de Spent  in XAF" fld="4" baseField="10" baseItem="5"/>
    <dataField name="Somme de Spent in $" fld="5" baseField="10" baseItem="5"/>
    <dataField name="Somme de Receved in XAF" fld="12" baseField="10" baseItem="5"/>
    <dataField name="Somme de Receved  $" fld="13" baseField="10" baseItem="5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name="Tableau croisé dynamique4" cacheId="1" applyNumberFormats="0" applyBorderFormats="0" applyFontFormats="0" applyPatternFormats="0" applyAlignmentFormats="0" applyWidthHeightFormats="1" dataCaption="Valeurs" updatedVersion="7" minRefreshableVersion="3" useAutoFormatting="1" itemPrintTitles="1" createdVersion="6" indent="0" outline="1" outlineData="1" multipleFieldFilters="0">
  <location ref="G2:H16" firstHeaderRow="1" firstDataRow="1" firstDataCol="1"/>
  <pivotFields count="5">
    <pivotField numFmtId="14" showAll="0"/>
    <pivotField showAll="0"/>
    <pivotField dataField="1" showAll="0"/>
    <pivotField numFmtId="3" showAll="0"/>
    <pivotField axis="axisRow" showAll="0">
      <items count="14">
        <item x="6"/>
        <item x="3"/>
        <item x="4"/>
        <item x="1"/>
        <item x="8"/>
        <item x="10"/>
        <item x="12"/>
        <item x="11"/>
        <item x="2"/>
        <item x="5"/>
        <item x="7"/>
        <item x="9"/>
        <item x="0"/>
        <item t="default"/>
      </items>
    </pivotField>
  </pivotFields>
  <rowFields count="1">
    <field x="4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omme de distributed" fld="2" baseField="4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2" dT="2024-11-19T16:38:26.73" personId="{98584D5A-8469-40CB-92DE-DDEA7199F951}" id="{A12D1BC1-2A0A-4E82-995E-AE42C351895A}">
    <text>Link to the personal balance</text>
  </threadedComment>
  <threadedComment ref="D2" dT="2024-11-19T16:46:00.44" personId="{98584D5A-8469-40CB-92DE-DDEA7199F951}" id="{B9DA9024-4CA0-46CF-BCB7-17B9FFFC34E0}">
    <text>Link to the pivot table „Cash journal“</text>
  </threadedComment>
  <threadedComment ref="E2" dT="2024-11-19T16:46:19.39" personId="{98584D5A-8469-40CB-92DE-DDEA7199F951}" id="{62FAAB4B-6EAF-4972-9E02-C37D118F3FE1}">
    <text>Link to the pivot table „data“</text>
  </threadedComment>
  <threadedComment ref="H2" dT="2024-11-19T16:38:41.72" personId="{98584D5A-8469-40CB-92DE-DDEA7199F951}" id="{CD553CA5-AD13-43FC-A1F7-EF2DE5EF7A94}">
    <text>Link to the personal balance</text>
  </threadedComment>
  <threadedComment ref="I2" dT="2024-11-19T16:38:50.52" personId="{98584D5A-8469-40CB-92DE-DDEA7199F951}" id="{5991BF77-FCF5-4586-9875-1F89E2825A51}">
    <text>formula</text>
  </threadedComment>
  <threadedComment ref="C19" dT="2024-11-19T16:39:21.61" personId="{98584D5A-8469-40CB-92DE-DDEA7199F951}" id="{D10F2EAC-DC88-4867-AF3C-128AC3A279F6}">
    <text>Link to the bank journal</text>
  </threadedComment>
  <threadedComment ref="I19" dT="2024-11-19T16:39:34.22" personId="{98584D5A-8469-40CB-92DE-DDEA7199F951}" id="{E4BF8878-824E-43F9-ABC1-A73CD708EDCD}">
    <text>Link to the bank journal</text>
  </threadedComment>
  <threadedComment ref="C25" dT="2024-11-19T16:39:51.68" personId="{98584D5A-8469-40CB-92DE-DDEA7199F951}" id="{5E3CEF0F-AC62-41D5-A934-AC03EDB0B8D2}">
    <text>Link to the cash journal</text>
  </threadedComment>
  <threadedComment ref="H25" dT="2024-11-19T16:40:03.44" personId="{98584D5A-8469-40CB-92DE-DDEA7199F951}" id="{A6199460-FC62-44E6-AB78-D712E7363C57}">
    <text>Link to the cash journal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C6" dT="2024-11-19T17:03:20.17" personId="{98584D5A-8469-40CB-92DE-DDEA7199F951}" id="{C1DF0F66-A833-40DC-8B4A-5A54471ED649}">
    <text>Adjust that according to your country</text>
  </threadedComment>
  <threadedComment ref="F23" dT="2024-11-19T17:02:43.89" personId="{98584D5A-8469-40CB-92DE-DDEA7199F951}" id="{F88D673A-DD35-4DCB-976B-8A96F322437E}">
    <text>Link to the cash journal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5" Type="http://schemas.microsoft.com/office/2017/10/relationships/threadedComment" Target="../threadedComments/threadedComment2.xml"/><Relationship Id="rId4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4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"/>
  <dimension ref="A1:M32"/>
  <sheetViews>
    <sheetView zoomScale="83" zoomScaleNormal="83" workbookViewId="0">
      <selection activeCell="L28" sqref="L28"/>
    </sheetView>
  </sheetViews>
  <sheetFormatPr baseColWidth="10" defaultColWidth="8.69921875" defaultRowHeight="13.8"/>
  <cols>
    <col min="1" max="10" width="17.3984375" customWidth="1"/>
    <col min="12" max="13" width="14.69921875" customWidth="1"/>
  </cols>
  <sheetData>
    <row r="1" spans="1:13" ht="41.4">
      <c r="A1" s="79" t="s">
        <v>10</v>
      </c>
      <c r="B1" s="80" t="s">
        <v>11</v>
      </c>
      <c r="C1" s="80" t="s">
        <v>3645</v>
      </c>
      <c r="D1" s="80" t="s">
        <v>12</v>
      </c>
      <c r="E1" s="81" t="s">
        <v>13</v>
      </c>
      <c r="F1" s="81"/>
      <c r="G1" s="81" t="s">
        <v>467</v>
      </c>
      <c r="H1" s="80" t="s">
        <v>3644</v>
      </c>
      <c r="I1" s="82" t="s">
        <v>14</v>
      </c>
      <c r="J1" s="5" t="s">
        <v>15</v>
      </c>
      <c r="L1" s="76" t="s">
        <v>1509</v>
      </c>
      <c r="M1" s="76"/>
    </row>
    <row r="2" spans="1:13" ht="14.4">
      <c r="A2" s="131" t="s">
        <v>440</v>
      </c>
      <c r="B2" s="6" t="s">
        <v>118</v>
      </c>
      <c r="C2" s="7">
        <f>+'Personals balance  '!H4</f>
        <v>11021</v>
      </c>
      <c r="D2" s="232">
        <f>GETPIVOTDATA("Somme de Spent ",'Individual received '!$B$2,"Name","DOVI")+'Balance  '!M2</f>
        <v>245000</v>
      </c>
      <c r="E2" s="8">
        <f>GETPIVOTDATA("Spent  in XAF",'Individual costs  '!$B$2,"Name","DOVI")</f>
        <v>322625</v>
      </c>
      <c r="F2" s="8"/>
      <c r="G2" s="7">
        <f>GETPIVOTDATA("Somme de Received",'Individual received '!$B$2,"Name","DOVI")</f>
        <v>190000</v>
      </c>
      <c r="H2" s="9">
        <f>'Personals balance  '!H78</f>
        <v>-256604</v>
      </c>
      <c r="I2" s="10">
        <f>C2+D2-E2+F2-G2</f>
        <v>-256604</v>
      </c>
      <c r="J2" s="11">
        <f>H2-I2</f>
        <v>0</v>
      </c>
      <c r="L2" s="131" t="s">
        <v>440</v>
      </c>
      <c r="M2" s="95">
        <f>+GETPIVOTDATA("distributed",'phone credit '!$G$2,"name","Dovi")</f>
        <v>50000</v>
      </c>
    </row>
    <row r="3" spans="1:13" ht="14.4">
      <c r="A3" s="131" t="s">
        <v>199</v>
      </c>
      <c r="B3" s="6" t="s">
        <v>118</v>
      </c>
      <c r="C3" s="7">
        <f>+'Personals balance  '!H82</f>
        <v>200620</v>
      </c>
      <c r="D3" s="232">
        <f>GETPIVOTDATA("Somme de Spent ",'Individual received '!$B$2,"Name","Crepin")+M3</f>
        <v>875000</v>
      </c>
      <c r="E3" s="8">
        <f>GETPIVOTDATA("Spent  in XAF",'Individual costs  '!$B$2,"Name","Crepin")</f>
        <v>728400</v>
      </c>
      <c r="F3" s="8"/>
      <c r="G3" s="7">
        <v>0</v>
      </c>
      <c r="H3" s="9">
        <f>+'Personals balance  '!H131</f>
        <v>347220</v>
      </c>
      <c r="I3" s="10">
        <f>C3+D3-E3+F3-G3</f>
        <v>347220</v>
      </c>
      <c r="J3" s="11">
        <f t="shared" ref="J3:J15" si="0">H3-I3</f>
        <v>0</v>
      </c>
      <c r="L3" s="131" t="s">
        <v>199</v>
      </c>
      <c r="M3" s="95">
        <f>GETPIVOTDATA("distributed",'phone credit '!$G$2,"name","Crepin")</f>
        <v>40000</v>
      </c>
    </row>
    <row r="4" spans="1:13" ht="14.4">
      <c r="A4" s="131" t="s">
        <v>156</v>
      </c>
      <c r="B4" s="6" t="s">
        <v>117</v>
      </c>
      <c r="C4" s="7">
        <f>'Personals balance  '!H136</f>
        <v>0</v>
      </c>
      <c r="D4" s="232">
        <f>0+M4</f>
        <v>0</v>
      </c>
      <c r="E4" s="8">
        <v>0</v>
      </c>
      <c r="F4" s="8"/>
      <c r="G4" s="7">
        <v>0</v>
      </c>
      <c r="H4" s="9">
        <f>+'Personals balance  '!H137</f>
        <v>0</v>
      </c>
      <c r="I4" s="10">
        <f t="shared" ref="I4:I10" si="1">C4+D4-E4+F4-G4</f>
        <v>0</v>
      </c>
      <c r="J4" s="11">
        <f t="shared" si="0"/>
        <v>0</v>
      </c>
      <c r="L4" s="131" t="s">
        <v>156</v>
      </c>
      <c r="M4" s="76">
        <v>0</v>
      </c>
    </row>
    <row r="5" spans="1:13" ht="14.4">
      <c r="A5" s="131" t="s">
        <v>583</v>
      </c>
      <c r="B5" s="6" t="s">
        <v>117</v>
      </c>
      <c r="C5" s="7">
        <f>+'Personals balance  '!H142</f>
        <v>12000</v>
      </c>
      <c r="D5" s="232">
        <f>GETPIVOTDATA("Somme de Spent ",'Individual received '!$B$2,"Name","Parfaite")+M5</f>
        <v>558984</v>
      </c>
      <c r="E5" s="8">
        <f>+GETPIVOTDATA("Spent  in XAF",'Individual costs  '!$B$2,"Name","Parfaite")</f>
        <v>556484</v>
      </c>
      <c r="F5" s="8"/>
      <c r="G5" s="7">
        <f>+GETPIVOTDATA("Somme de Received",'Individual received '!$B$2,"Name","Parfaite")</f>
        <v>0</v>
      </c>
      <c r="H5" s="9">
        <f>+'Personals balance  '!H217</f>
        <v>14500</v>
      </c>
      <c r="I5" s="10">
        <f>C5+D5-E5+F5-G5</f>
        <v>14500</v>
      </c>
      <c r="J5" s="11">
        <f t="shared" si="0"/>
        <v>0</v>
      </c>
      <c r="L5" s="131" t="s">
        <v>583</v>
      </c>
      <c r="M5" s="95">
        <f>+GETPIVOTDATA("distributed",'phone credit '!$G$2,"name","Parfaite")</f>
        <v>30000</v>
      </c>
    </row>
    <row r="6" spans="1:13" ht="14.4">
      <c r="A6" s="133" t="s">
        <v>441</v>
      </c>
      <c r="B6" s="134" t="s">
        <v>442</v>
      </c>
      <c r="C6" s="154">
        <v>233614</v>
      </c>
      <c r="D6" s="155"/>
      <c r="E6" s="155"/>
      <c r="F6" s="155"/>
      <c r="G6" s="154"/>
      <c r="H6" s="156">
        <v>233614</v>
      </c>
      <c r="I6" s="157">
        <f t="shared" si="1"/>
        <v>233614</v>
      </c>
      <c r="J6" s="11">
        <f t="shared" si="0"/>
        <v>0</v>
      </c>
      <c r="L6" s="133" t="s">
        <v>441</v>
      </c>
      <c r="M6" s="76"/>
    </row>
    <row r="7" spans="1:13" ht="14.4">
      <c r="A7" s="133" t="s">
        <v>443</v>
      </c>
      <c r="B7" s="134" t="s">
        <v>442</v>
      </c>
      <c r="C7" s="154">
        <v>249769</v>
      </c>
      <c r="D7" s="155"/>
      <c r="E7" s="155"/>
      <c r="F7" s="155"/>
      <c r="G7" s="154"/>
      <c r="H7" s="156">
        <v>249769</v>
      </c>
      <c r="I7" s="157">
        <f t="shared" si="1"/>
        <v>249769</v>
      </c>
      <c r="J7" s="11">
        <f t="shared" si="0"/>
        <v>0</v>
      </c>
      <c r="L7" s="133" t="s">
        <v>443</v>
      </c>
      <c r="M7" s="76"/>
    </row>
    <row r="8" spans="1:13" ht="15">
      <c r="A8" s="132" t="s">
        <v>316</v>
      </c>
      <c r="B8" s="6" t="s">
        <v>442</v>
      </c>
      <c r="C8" s="7">
        <f>+'Personals balance  '!H529</f>
        <v>12300</v>
      </c>
      <c r="D8" s="232">
        <f>GETPIVOTDATA("Somme de Spent ",'Individual received '!$B$2,"Name","IT87")+'Balance  '!M8</f>
        <v>275000</v>
      </c>
      <c r="E8" s="8">
        <f>GETPIVOTDATA("Spent  in XAF",'Individual costs  '!$B$2,"Name","IT87")</f>
        <v>274800</v>
      </c>
      <c r="F8" s="8"/>
      <c r="G8" s="7">
        <v>0</v>
      </c>
      <c r="H8" s="9">
        <f>+'Personals balance  '!H600</f>
        <v>12500</v>
      </c>
      <c r="I8" s="10">
        <f t="shared" si="1"/>
        <v>12500</v>
      </c>
      <c r="J8" s="11">
        <f t="shared" si="0"/>
        <v>0</v>
      </c>
      <c r="L8" s="132" t="s">
        <v>316</v>
      </c>
      <c r="M8" s="95">
        <f>GETPIVOTDATA("distributed",'phone credit '!$G$2,"name","IT87")</f>
        <v>40000</v>
      </c>
    </row>
    <row r="9" spans="1:13" ht="14.4">
      <c r="A9" s="131" t="s">
        <v>183</v>
      </c>
      <c r="B9" s="6" t="s">
        <v>442</v>
      </c>
      <c r="C9" s="7">
        <f>+'Personals balance  '!H222</f>
        <v>133710</v>
      </c>
      <c r="D9" s="232">
        <f>GETPIVOTDATA("Somme de Spent ",'Individual received '!$B$2,"Name","P29")+M9</f>
        <v>961000</v>
      </c>
      <c r="E9" s="8">
        <f>GETPIVOTDATA("Spent  in XAF",'Individual costs  '!$B$2,"Name","P29")</f>
        <v>902100</v>
      </c>
      <c r="F9" s="8"/>
      <c r="G9" s="7">
        <f>+GETPIVOTDATA("Somme de Received",'Individual received '!$B$2,"Name","P29")</f>
        <v>30000</v>
      </c>
      <c r="H9" s="9">
        <f>+'Personals balance  '!H363</f>
        <v>162610</v>
      </c>
      <c r="I9" s="10">
        <f t="shared" si="1"/>
        <v>162610</v>
      </c>
      <c r="J9" s="11">
        <f t="shared" si="0"/>
        <v>0</v>
      </c>
      <c r="L9" s="131" t="s">
        <v>183</v>
      </c>
      <c r="M9" s="95">
        <f>GETPIVOTDATA("distributed",'phone credit '!$G$2,"name","P29")</f>
        <v>40000</v>
      </c>
    </row>
    <row r="10" spans="1:13" ht="14.4">
      <c r="A10" s="131" t="s">
        <v>174</v>
      </c>
      <c r="B10" s="6" t="s">
        <v>442</v>
      </c>
      <c r="C10" s="7">
        <f>+'Personals balance  '!H368</f>
        <v>153950</v>
      </c>
      <c r="D10" s="232">
        <f>GETPIVOTDATA("Somme de Spent ",'Individual received '!$B$2,"Name","T73")+M10</f>
        <v>909000</v>
      </c>
      <c r="E10" s="8">
        <f>GETPIVOTDATA("Spent  in XAF",'Individual costs  '!$B$2,"Name","T73")</f>
        <v>586000</v>
      </c>
      <c r="F10" s="8"/>
      <c r="G10" s="7">
        <f>+GETPIVOTDATA("Somme de Received",'Individual received '!$B$2,"Name","T73")</f>
        <v>50000</v>
      </c>
      <c r="H10" s="9">
        <f>+'Personals balance  '!H524</f>
        <v>426950</v>
      </c>
      <c r="I10" s="10">
        <f t="shared" si="1"/>
        <v>426950</v>
      </c>
      <c r="J10" s="11">
        <f t="shared" si="0"/>
        <v>0</v>
      </c>
      <c r="L10" s="131" t="s">
        <v>174</v>
      </c>
      <c r="M10" s="95">
        <f>GETPIVOTDATA("distributed",'phone credit '!$G$2,"name","T73")</f>
        <v>40000</v>
      </c>
    </row>
    <row r="11" spans="1:13" ht="14.4">
      <c r="A11" s="127" t="s">
        <v>322</v>
      </c>
      <c r="B11" s="230" t="s">
        <v>442</v>
      </c>
      <c r="C11" s="231">
        <f>+'Personals balance  '!H605</f>
        <v>3000</v>
      </c>
      <c r="D11" s="232">
        <f>GETPIVOTDATA("Somme de Spent ",'Individual received '!$B$2,"Name","G12")+M11</f>
        <v>70000</v>
      </c>
      <c r="E11" s="232">
        <f>GETPIVOTDATA("Spent  in XAF",'Individual costs  '!$B$2,"Name","G12")</f>
        <v>62000</v>
      </c>
      <c r="F11" s="232"/>
      <c r="G11" s="231">
        <f>+GETPIVOTDATA("Somme de Received",'Individual received '!$B$2,"Name","G12")</f>
        <v>0</v>
      </c>
      <c r="H11" s="233">
        <f>+'Personals balance  '!H635</f>
        <v>11000</v>
      </c>
      <c r="I11" s="234">
        <f t="shared" ref="I11:I16" si="2">C11+D11-E11+F11-G11</f>
        <v>11000</v>
      </c>
      <c r="J11" s="11">
        <f t="shared" si="0"/>
        <v>0</v>
      </c>
      <c r="L11" s="76" t="s">
        <v>322</v>
      </c>
      <c r="M11" s="95">
        <f>GETPIVOTDATA("distributed",'phone credit '!$G$2,"name","G12")</f>
        <v>40000</v>
      </c>
    </row>
    <row r="12" spans="1:13" ht="14.4">
      <c r="A12" s="235" t="s">
        <v>186</v>
      </c>
      <c r="B12" s="230" t="s">
        <v>116</v>
      </c>
      <c r="C12" s="236">
        <f>+'Personals balance  '!H879</f>
        <v>5047</v>
      </c>
      <c r="D12" s="232">
        <f>GETPIVOTDATA("Somme de Spent ",'Individual received '!$B$2,"Name","Romain")+M12</f>
        <v>119963</v>
      </c>
      <c r="E12" s="237">
        <f>+GETPIVOTDATA("Spent  in XAF",'Individual costs  '!$B$2,"Name","Romain")</f>
        <v>121463</v>
      </c>
      <c r="F12" s="127"/>
      <c r="G12" s="127">
        <f>+GETPIVOTDATA("Somme de Received",'Individual received '!$B$2,"Name",)</f>
        <v>0</v>
      </c>
      <c r="H12" s="236">
        <f>+'Personals balance  '!H919</f>
        <v>3547</v>
      </c>
      <c r="I12" s="234">
        <f t="shared" si="2"/>
        <v>3547</v>
      </c>
      <c r="J12" s="11">
        <f t="shared" si="0"/>
        <v>0</v>
      </c>
      <c r="L12" s="131" t="s">
        <v>186</v>
      </c>
      <c r="M12" s="95">
        <f>+GETPIVOTDATA("distributed",'phone credit '!$G$2,"name","Romain")</f>
        <v>30000</v>
      </c>
    </row>
    <row r="13" spans="1:13" ht="14.4">
      <c r="A13" s="131" t="s">
        <v>437</v>
      </c>
      <c r="B13" s="6" t="s">
        <v>116</v>
      </c>
      <c r="C13" s="12">
        <f>+'Personals balance  '!H727</f>
        <v>276830</v>
      </c>
      <c r="D13" s="236">
        <f>GETPIVOTDATA("Somme de Spent ",'Individual received '!$B$2,"Name","Donald-Roméo")+M13</f>
        <v>517000</v>
      </c>
      <c r="E13" s="13">
        <f>+GETPIVOTDATA("Spent  in XAF",'Individual costs  '!$B$2,"Name","Donald-Romeo")</f>
        <v>725000</v>
      </c>
      <c r="F13" s="76"/>
      <c r="G13" s="124">
        <f>+GETPIVOTDATA("Somme de Received",'Individual received '!$B$2,"Name","Donald-Roméo")</f>
        <v>0</v>
      </c>
      <c r="H13" s="125">
        <f>+'Personals balance  '!H786</f>
        <v>68830</v>
      </c>
      <c r="I13" s="10">
        <f t="shared" si="2"/>
        <v>68830</v>
      </c>
      <c r="J13" s="11">
        <f t="shared" si="0"/>
        <v>0</v>
      </c>
      <c r="L13" s="131" t="s">
        <v>437</v>
      </c>
      <c r="M13" s="95">
        <f>GETPIVOTDATA("distributed",'phone credit '!$G$2,"name","Donald-Romeo")</f>
        <v>40000</v>
      </c>
    </row>
    <row r="14" spans="1:13" ht="14.4">
      <c r="A14" s="131" t="s">
        <v>189</v>
      </c>
      <c r="B14" s="6" t="s">
        <v>116</v>
      </c>
      <c r="C14" s="12">
        <f>+'Personals balance  '!H639</f>
        <v>18950</v>
      </c>
      <c r="D14" s="236">
        <f>GETPIVOTDATA("Somme de Spent ",'Individual received '!$B$2,"Name","Abraham")+M14</f>
        <v>112590</v>
      </c>
      <c r="E14" s="13">
        <f>+GETPIVOTDATA("Spent  in XAF",'Individual costs  '!$B$2,"Name","Abraham")</f>
        <v>128590</v>
      </c>
      <c r="F14" s="76"/>
      <c r="G14" s="124">
        <f>+GETPIVOTDATA("Somme de Received",'Individual received '!$B$2,"Name","Abraham")</f>
        <v>0</v>
      </c>
      <c r="H14" s="125">
        <f>+'Personals balance  '!H676</f>
        <v>2950</v>
      </c>
      <c r="I14" s="10">
        <f t="shared" si="2"/>
        <v>2950</v>
      </c>
      <c r="J14" s="11">
        <f t="shared" si="0"/>
        <v>0</v>
      </c>
      <c r="L14" s="131" t="s">
        <v>189</v>
      </c>
      <c r="M14" s="95">
        <f>+GETPIVOTDATA("distributed",'phone credit '!$G$2,"name","Abraham")</f>
        <v>30000</v>
      </c>
    </row>
    <row r="15" spans="1:13" ht="14.4">
      <c r="A15" s="131" t="s">
        <v>192</v>
      </c>
      <c r="B15" s="6" t="s">
        <v>116</v>
      </c>
      <c r="C15" s="12">
        <f>+'Personals balance  '!H682</f>
        <v>77400</v>
      </c>
      <c r="D15" s="236">
        <f>GETPIVOTDATA("Somme de Spent ",'Individual received '!$B$2,"Name","Roderlin")+M15</f>
        <v>286520</v>
      </c>
      <c r="E15" s="13">
        <f>+GETPIVOTDATA("Spent  in XAF",'Individual costs  '!$B$2,"Name","Roderlin")</f>
        <v>352020</v>
      </c>
      <c r="F15" s="76"/>
      <c r="G15" s="124">
        <f>+GETPIVOTDATA("Somme de Received",'Individual received '!$B$2,"Name","Roderlin")</f>
        <v>0</v>
      </c>
      <c r="H15" s="125">
        <f>+'Personals balance  '!H723</f>
        <v>11900</v>
      </c>
      <c r="I15" s="10">
        <f t="shared" si="2"/>
        <v>11900</v>
      </c>
      <c r="J15" s="11">
        <f t="shared" si="0"/>
        <v>0</v>
      </c>
      <c r="L15" s="131" t="s">
        <v>192</v>
      </c>
      <c r="M15" s="95">
        <f>+GETPIVOTDATA("distributed",'phone credit '!$G$2,"name","Roderlin")</f>
        <v>30000</v>
      </c>
    </row>
    <row r="16" spans="1:13" ht="14.4">
      <c r="A16" s="131" t="s">
        <v>212</v>
      </c>
      <c r="B16" s="6" t="s">
        <v>119</v>
      </c>
      <c r="C16" s="12">
        <f>+'Personals balance  '!H790</f>
        <v>303050</v>
      </c>
      <c r="D16" s="236">
        <f>GETPIVOTDATA("Somme de Spent ",'Individual received '!$B$2,"Name","Evariste")+M16</f>
        <v>430000</v>
      </c>
      <c r="E16" s="13">
        <f>+GETPIVOTDATA("Spent  in XAF",'Individual costs  '!$B$2,"Name","Evariste")</f>
        <v>613500</v>
      </c>
      <c r="F16" s="76"/>
      <c r="G16" s="124">
        <f>+GETPIVOTDATA("Somme de Received",'Individual received '!$B$2,"Name","Evariste")</f>
        <v>0</v>
      </c>
      <c r="H16" s="125">
        <f>'Personals balance  '!H873</f>
        <v>119550</v>
      </c>
      <c r="I16" s="10">
        <f t="shared" si="2"/>
        <v>119550</v>
      </c>
      <c r="J16" s="11">
        <f>H16-I16</f>
        <v>0</v>
      </c>
      <c r="L16" s="131" t="s">
        <v>212</v>
      </c>
      <c r="M16" s="95">
        <f>GETPIVOTDATA("distributed",'phone credit '!$G$2,"name","Evariste")</f>
        <v>40000</v>
      </c>
    </row>
    <row r="17" spans="1:13" ht="14.4">
      <c r="A17" s="14" t="s">
        <v>18</v>
      </c>
      <c r="B17" s="15"/>
      <c r="C17" s="16">
        <f t="shared" ref="C17:I17" si="3">SUM(C2:C16)</f>
        <v>1691261</v>
      </c>
      <c r="D17" s="16">
        <f t="shared" si="3"/>
        <v>5360057</v>
      </c>
      <c r="E17" s="16">
        <f t="shared" si="3"/>
        <v>5372982</v>
      </c>
      <c r="F17" s="16">
        <f t="shared" si="3"/>
        <v>0</v>
      </c>
      <c r="G17" s="16">
        <f t="shared" si="3"/>
        <v>270000</v>
      </c>
      <c r="H17" s="16">
        <f t="shared" si="3"/>
        <v>1408336</v>
      </c>
      <c r="I17" s="16">
        <f t="shared" si="3"/>
        <v>1408336</v>
      </c>
      <c r="J17" s="17">
        <f>H17-I17</f>
        <v>0</v>
      </c>
      <c r="M17" s="71">
        <f>SUM(M2:M16)</f>
        <v>450000</v>
      </c>
    </row>
    <row r="18" spans="1:13" ht="14.4">
      <c r="A18" s="18"/>
      <c r="B18" s="19"/>
      <c r="C18" s="20"/>
      <c r="D18" s="21"/>
      <c r="E18" s="21"/>
      <c r="F18" s="77" t="s">
        <v>16</v>
      </c>
      <c r="G18" s="78" t="s">
        <v>17</v>
      </c>
      <c r="H18" s="20"/>
      <c r="I18" s="22"/>
      <c r="J18" s="11"/>
    </row>
    <row r="19" spans="1:13" ht="14.4">
      <c r="A19" s="23" t="s">
        <v>28</v>
      </c>
      <c r="B19" s="24"/>
      <c r="C19" s="25">
        <f>+'Bank journal  '!H2</f>
        <v>5848090</v>
      </c>
      <c r="D19" s="26">
        <f>'DATA '!M696+'DATA '!M697+'DATA '!M698</f>
        <v>6402038</v>
      </c>
      <c r="E19" s="25">
        <f>GETPIVOTDATA("Spent  in XAF",'Individual costs  '!$B$2,"Name","BCI")</f>
        <v>1935000</v>
      </c>
      <c r="F19" s="25"/>
      <c r="G19" s="25">
        <f>GETPIVOTDATA("Somme de Received",'Individual received '!$B$2,"Name","BCI")</f>
        <v>5700000</v>
      </c>
      <c r="H19" s="26">
        <f>'Bank reconciliation  '!D62</f>
        <v>4615128</v>
      </c>
      <c r="I19" s="27">
        <f>C19+D19-E19+F19-G19</f>
        <v>4615128</v>
      </c>
      <c r="J19" s="11">
        <f>H19-I19</f>
        <v>0</v>
      </c>
    </row>
    <row r="20" spans="1:13" ht="14.4">
      <c r="A20" s="83" t="s">
        <v>19</v>
      </c>
      <c r="B20" s="84"/>
      <c r="C20" s="84">
        <f t="shared" ref="C20:I20" si="4">SUM(C19:C19)</f>
        <v>5848090</v>
      </c>
      <c r="D20" s="84">
        <f t="shared" si="4"/>
        <v>6402038</v>
      </c>
      <c r="E20" s="84">
        <f t="shared" si="4"/>
        <v>1935000</v>
      </c>
      <c r="F20" s="84">
        <f t="shared" si="4"/>
        <v>0</v>
      </c>
      <c r="G20" s="84">
        <f t="shared" si="4"/>
        <v>5700000</v>
      </c>
      <c r="H20" s="84">
        <f t="shared" si="4"/>
        <v>4615128</v>
      </c>
      <c r="I20" s="85">
        <f t="shared" si="4"/>
        <v>4615128</v>
      </c>
      <c r="J20" s="17">
        <f>H20-I20</f>
        <v>0</v>
      </c>
    </row>
    <row r="21" spans="1:13" ht="14.4">
      <c r="A21" s="28" t="s">
        <v>20</v>
      </c>
      <c r="B21" s="29"/>
      <c r="C21" s="29"/>
      <c r="D21" s="30"/>
      <c r="E21" s="31"/>
      <c r="F21" s="29"/>
      <c r="G21" s="29"/>
      <c r="H21" s="29"/>
      <c r="I21" s="32"/>
      <c r="J21" s="33"/>
    </row>
    <row r="22" spans="1:13" ht="15" thickBot="1">
      <c r="A22" s="34"/>
      <c r="B22" s="35"/>
      <c r="C22" s="35"/>
      <c r="D22" s="35"/>
      <c r="E22" s="35"/>
      <c r="F22" s="35"/>
      <c r="G22" s="35"/>
      <c r="H22" s="35"/>
      <c r="I22" s="36"/>
      <c r="J22" s="11"/>
    </row>
    <row r="23" spans="1:13" ht="15" thickBot="1">
      <c r="A23" s="37" t="s">
        <v>21</v>
      </c>
      <c r="B23" s="38"/>
      <c r="C23" s="38"/>
      <c r="D23" s="38"/>
      <c r="E23" s="38">
        <f>E17+E20</f>
        <v>7307982</v>
      </c>
      <c r="F23" s="38"/>
      <c r="G23" s="38"/>
      <c r="H23" s="38"/>
      <c r="I23" s="39"/>
      <c r="J23" s="40"/>
    </row>
    <row r="24" spans="1:13" ht="14.4">
      <c r="A24" s="41"/>
      <c r="B24" s="42"/>
      <c r="C24" s="42"/>
      <c r="D24" s="42"/>
      <c r="E24" s="42"/>
      <c r="F24" s="42"/>
      <c r="G24" s="42"/>
      <c r="H24" s="42"/>
      <c r="I24" s="43"/>
      <c r="J24" s="11"/>
    </row>
    <row r="25" spans="1:13" ht="14.4">
      <c r="A25" s="44" t="s">
        <v>22</v>
      </c>
      <c r="B25" s="45"/>
      <c r="C25" s="46">
        <f>'Cash journal  '!G2</f>
        <v>56980</v>
      </c>
      <c r="D25" s="47">
        <f>GETPIVOTDATA("Somme de Received",'Individual received '!$B$2)</f>
        <v>7170558</v>
      </c>
      <c r="E25" s="47">
        <f>GETPIVOTDATA("Somme de Spent ",'Individual received '!$B$2)</f>
        <v>6560615</v>
      </c>
      <c r="F25" s="47"/>
      <c r="G25" s="47"/>
      <c r="H25" s="47">
        <f>'Cash desk closing'!F23</f>
        <v>666923</v>
      </c>
      <c r="I25" s="48">
        <f>C25+D25-E25+F25</f>
        <v>666923</v>
      </c>
      <c r="J25" s="11">
        <f>H25-I25</f>
        <v>0</v>
      </c>
    </row>
    <row r="26" spans="1:13" ht="15" thickBot="1">
      <c r="A26" s="49"/>
      <c r="B26" s="50"/>
      <c r="C26" s="50"/>
      <c r="D26" s="50"/>
      <c r="E26" s="50"/>
      <c r="F26" s="50"/>
      <c r="G26" s="50"/>
      <c r="H26" s="50"/>
      <c r="I26" s="50"/>
      <c r="J26" s="51"/>
    </row>
    <row r="27" spans="1:13" ht="15.6">
      <c r="A27" s="52"/>
      <c r="B27" s="53"/>
      <c r="C27" s="54"/>
      <c r="D27" s="582" t="s">
        <v>23</v>
      </c>
      <c r="E27" s="582"/>
      <c r="F27" s="54"/>
      <c r="G27" s="54"/>
      <c r="H27" s="54"/>
      <c r="I27" s="55"/>
      <c r="J27" s="56"/>
    </row>
    <row r="28" spans="1:13" ht="46.8">
      <c r="A28" s="57"/>
      <c r="B28" s="58"/>
      <c r="C28" s="59" t="s">
        <v>3643</v>
      </c>
      <c r="D28" s="59" t="s">
        <v>31</v>
      </c>
      <c r="E28" s="59" t="s">
        <v>24</v>
      </c>
      <c r="F28" s="59"/>
      <c r="G28" s="59"/>
      <c r="H28" s="59" t="s">
        <v>3642</v>
      </c>
      <c r="I28" s="59" t="s">
        <v>25</v>
      </c>
      <c r="J28" s="60" t="s">
        <v>26</v>
      </c>
    </row>
    <row r="29" spans="1:13" ht="16.2" thickBot="1">
      <c r="A29" s="61" t="s">
        <v>27</v>
      </c>
      <c r="B29" s="62"/>
      <c r="C29" s="63">
        <f>C25+C20+C17</f>
        <v>7596331</v>
      </c>
      <c r="D29" s="63">
        <f>+D20</f>
        <v>6402038</v>
      </c>
      <c r="E29" s="63">
        <f>E23</f>
        <v>7307982</v>
      </c>
      <c r="F29" s="64"/>
      <c r="G29" s="63"/>
      <c r="H29" s="63">
        <f>+H25+H20+H17</f>
        <v>6690387</v>
      </c>
      <c r="I29" s="63">
        <f>C29+D29-E29</f>
        <v>6690387</v>
      </c>
      <c r="J29" s="65">
        <f>H29-I29</f>
        <v>0</v>
      </c>
    </row>
    <row r="31" spans="1:13">
      <c r="F31" s="161"/>
    </row>
    <row r="32" spans="1:13">
      <c r="F32" s="161"/>
    </row>
  </sheetData>
  <mergeCells count="1">
    <mergeCell ref="D27:E27"/>
  </mergeCells>
  <phoneticPr fontId="29" type="noConversion"/>
  <pageMargins left="0.7" right="0.7" top="0.78740157499999996" bottom="0.78740157499999996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0"/>
  <dimension ref="B1:G31"/>
  <sheetViews>
    <sheetView workbookViewId="0">
      <selection activeCell="F40" sqref="F40"/>
    </sheetView>
  </sheetViews>
  <sheetFormatPr baseColWidth="10" defaultColWidth="8.69921875" defaultRowHeight="13.8"/>
  <cols>
    <col min="1" max="1" width="2.69921875" customWidth="1"/>
    <col min="2" max="2" width="15.09765625" customWidth="1"/>
    <col min="3" max="3" width="11.09765625" style="71" customWidth="1"/>
    <col min="4" max="4" width="11.09765625" style="97" customWidth="1"/>
    <col min="5" max="5" width="11.09765625" customWidth="1"/>
    <col min="6" max="6" width="14.69921875" customWidth="1"/>
  </cols>
  <sheetData>
    <row r="1" spans="2:6">
      <c r="B1" t="s">
        <v>67</v>
      </c>
      <c r="C1" s="71" t="s">
        <v>97</v>
      </c>
    </row>
    <row r="2" spans="2:6">
      <c r="B2" t="s">
        <v>68</v>
      </c>
      <c r="C2" s="71" t="s">
        <v>3606</v>
      </c>
    </row>
    <row r="3" spans="2:6">
      <c r="B3" t="s">
        <v>69</v>
      </c>
      <c r="C3" s="147">
        <v>2025</v>
      </c>
    </row>
    <row r="4" spans="2:6">
      <c r="C4"/>
    </row>
    <row r="5" spans="2:6">
      <c r="B5" s="91" t="s">
        <v>57</v>
      </c>
      <c r="C5" s="95"/>
      <c r="D5" s="96"/>
      <c r="E5" s="76"/>
      <c r="F5" s="76"/>
    </row>
    <row r="6" spans="2:6">
      <c r="B6" s="91"/>
      <c r="C6" s="95" t="s">
        <v>63</v>
      </c>
      <c r="D6" s="96"/>
      <c r="E6" s="76" t="s">
        <v>64</v>
      </c>
      <c r="F6" s="76"/>
    </row>
    <row r="7" spans="2:6">
      <c r="B7" s="76"/>
      <c r="C7" s="95">
        <v>10000</v>
      </c>
      <c r="D7" s="96" t="s">
        <v>58</v>
      </c>
      <c r="E7" s="76">
        <v>66</v>
      </c>
      <c r="F7" s="92">
        <f>C7*E7</f>
        <v>660000</v>
      </c>
    </row>
    <row r="8" spans="2:6">
      <c r="B8" s="76"/>
      <c r="C8" s="95">
        <v>5000</v>
      </c>
      <c r="D8" s="96" t="s">
        <v>58</v>
      </c>
      <c r="E8" s="76">
        <v>0</v>
      </c>
      <c r="F8" s="92">
        <f>C8*E8</f>
        <v>0</v>
      </c>
    </row>
    <row r="9" spans="2:6">
      <c r="B9" s="76"/>
      <c r="C9" s="95">
        <v>2000</v>
      </c>
      <c r="D9" s="96" t="s">
        <v>58</v>
      </c>
      <c r="E9" s="76">
        <v>1</v>
      </c>
      <c r="F9" s="92">
        <f>C9*E9</f>
        <v>2000</v>
      </c>
    </row>
    <row r="10" spans="2:6">
      <c r="B10" s="76"/>
      <c r="C10" s="95">
        <v>1000</v>
      </c>
      <c r="D10" s="96" t="s">
        <v>58</v>
      </c>
      <c r="E10" s="76">
        <v>4</v>
      </c>
      <c r="F10" s="92">
        <f>C10*E10</f>
        <v>4000</v>
      </c>
    </row>
    <row r="11" spans="2:6">
      <c r="B11" s="76"/>
      <c r="C11" s="95">
        <v>500</v>
      </c>
      <c r="D11" s="96" t="s">
        <v>58</v>
      </c>
      <c r="E11" s="76">
        <v>1</v>
      </c>
      <c r="F11" s="92">
        <f>C11*E11</f>
        <v>500</v>
      </c>
    </row>
    <row r="12" spans="2:6">
      <c r="B12" s="76"/>
      <c r="C12" s="95"/>
      <c r="D12" s="96"/>
      <c r="E12" s="76"/>
      <c r="F12" s="76"/>
    </row>
    <row r="13" spans="2:6">
      <c r="B13" s="93" t="s">
        <v>59</v>
      </c>
      <c r="C13" s="95"/>
      <c r="D13" s="96"/>
      <c r="E13" s="76"/>
      <c r="F13" s="76"/>
    </row>
    <row r="14" spans="2:6">
      <c r="B14" s="76"/>
      <c r="C14" s="95">
        <v>500</v>
      </c>
      <c r="D14" s="96" t="s">
        <v>58</v>
      </c>
      <c r="E14" s="76">
        <v>0</v>
      </c>
      <c r="F14" s="76">
        <f t="shared" ref="F14:F19" si="0">C14*E14</f>
        <v>0</v>
      </c>
    </row>
    <row r="15" spans="2:6">
      <c r="B15" s="76"/>
      <c r="C15" s="95">
        <v>100</v>
      </c>
      <c r="D15" s="96" t="s">
        <v>58</v>
      </c>
      <c r="E15" s="76">
        <v>4</v>
      </c>
      <c r="F15" s="76">
        <f t="shared" si="0"/>
        <v>400</v>
      </c>
    </row>
    <row r="16" spans="2:6">
      <c r="B16" s="76"/>
      <c r="C16" s="95">
        <v>50</v>
      </c>
      <c r="D16" s="96" t="s">
        <v>58</v>
      </c>
      <c r="E16" s="76">
        <v>0</v>
      </c>
      <c r="F16" s="76">
        <f t="shared" si="0"/>
        <v>0</v>
      </c>
    </row>
    <row r="17" spans="2:7">
      <c r="B17" s="76"/>
      <c r="C17" s="95">
        <v>25</v>
      </c>
      <c r="D17" s="96" t="s">
        <v>58</v>
      </c>
      <c r="E17" s="76">
        <v>1</v>
      </c>
      <c r="F17" s="76">
        <f t="shared" si="0"/>
        <v>25</v>
      </c>
    </row>
    <row r="18" spans="2:7">
      <c r="B18" s="76"/>
      <c r="C18" s="95">
        <v>10</v>
      </c>
      <c r="D18" s="96" t="s">
        <v>58</v>
      </c>
      <c r="E18" s="76">
        <v>0</v>
      </c>
      <c r="F18" s="76">
        <f t="shared" si="0"/>
        <v>0</v>
      </c>
    </row>
    <row r="19" spans="2:7">
      <c r="B19" s="76"/>
      <c r="C19" s="95">
        <v>5</v>
      </c>
      <c r="D19" s="96" t="s">
        <v>58</v>
      </c>
      <c r="E19" s="76">
        <v>0</v>
      </c>
      <c r="F19" s="76">
        <f t="shared" si="0"/>
        <v>0</v>
      </c>
    </row>
    <row r="20" spans="2:7">
      <c r="B20" s="76"/>
      <c r="C20" s="95"/>
      <c r="D20" s="96"/>
      <c r="E20" s="76"/>
      <c r="F20" s="94">
        <f>SUM(F7:F19)</f>
        <v>666925</v>
      </c>
    </row>
    <row r="21" spans="2:7">
      <c r="B21" s="76"/>
      <c r="C21" s="95"/>
      <c r="D21" s="96"/>
      <c r="E21" s="76"/>
      <c r="F21" s="91"/>
    </row>
    <row r="22" spans="2:7">
      <c r="B22" s="76" t="s">
        <v>60</v>
      </c>
      <c r="C22" s="95"/>
      <c r="D22" s="96"/>
      <c r="E22" s="76"/>
      <c r="F22" s="94">
        <f>F20</f>
        <v>666925</v>
      </c>
    </row>
    <row r="23" spans="2:7">
      <c r="B23" s="76" t="s">
        <v>61</v>
      </c>
      <c r="C23" s="95"/>
      <c r="D23" s="96"/>
      <c r="E23" s="76"/>
      <c r="F23" s="94">
        <f>'Cash journal  '!G108</f>
        <v>666923</v>
      </c>
    </row>
    <row r="24" spans="2:7">
      <c r="B24" s="76" t="s">
        <v>62</v>
      </c>
      <c r="C24" s="95"/>
      <c r="D24" s="96"/>
      <c r="E24" s="76"/>
      <c r="F24" s="92">
        <f>+F22-F23</f>
        <v>2</v>
      </c>
    </row>
    <row r="26" spans="2:7">
      <c r="B26" t="s">
        <v>1423</v>
      </c>
    </row>
    <row r="28" spans="2:7">
      <c r="B28" t="s">
        <v>65</v>
      </c>
      <c r="F28" t="s">
        <v>66</v>
      </c>
    </row>
    <row r="31" spans="2:7">
      <c r="B31" s="90" t="s">
        <v>1895</v>
      </c>
      <c r="C31" s="151"/>
      <c r="D31" s="152"/>
      <c r="E31" s="150"/>
      <c r="F31" s="153" t="s">
        <v>471</v>
      </c>
      <c r="G31" s="150"/>
    </row>
  </sheetData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" filterMode="1"/>
  <dimension ref="A1:O2702"/>
  <sheetViews>
    <sheetView workbookViewId="0">
      <pane ySplit="181" topLeftCell="A2488" activePane="bottomLeft" state="frozen"/>
      <selection pane="bottomLeft" activeCell="B2703" sqref="B2703"/>
    </sheetView>
  </sheetViews>
  <sheetFormatPr baseColWidth="10" defaultColWidth="9.09765625" defaultRowHeight="14.4"/>
  <cols>
    <col min="1" max="1" width="13.8984375" style="280" customWidth="1"/>
    <col min="2" max="2" width="47" style="280" customWidth="1"/>
    <col min="3" max="10" width="13.8984375" style="280" customWidth="1"/>
    <col min="11" max="11" width="10.69921875" style="280" customWidth="1"/>
    <col min="12" max="15" width="13.8984375" style="280" customWidth="1"/>
    <col min="16" max="16384" width="9.09765625" style="280"/>
  </cols>
  <sheetData>
    <row r="1" spans="1:15">
      <c r="A1" s="250" t="s">
        <v>0</v>
      </c>
      <c r="B1" s="1" t="s">
        <v>1</v>
      </c>
      <c r="C1" s="1" t="s">
        <v>2</v>
      </c>
      <c r="D1" s="1" t="s">
        <v>3</v>
      </c>
      <c r="E1" s="70" t="s">
        <v>149</v>
      </c>
      <c r="F1" s="72" t="s">
        <v>4</v>
      </c>
      <c r="G1" s="2" t="s">
        <v>5</v>
      </c>
      <c r="H1" s="3" t="s">
        <v>10</v>
      </c>
      <c r="I1" s="3" t="s">
        <v>6</v>
      </c>
      <c r="J1" s="3" t="s">
        <v>7</v>
      </c>
      <c r="K1" s="4" t="s">
        <v>8</v>
      </c>
      <c r="L1" s="3" t="s">
        <v>9</v>
      </c>
      <c r="M1" s="70" t="s">
        <v>148</v>
      </c>
      <c r="N1" s="70" t="s">
        <v>468</v>
      </c>
      <c r="O1" s="3" t="s">
        <v>70</v>
      </c>
    </row>
    <row r="2" spans="1:15" hidden="1">
      <c r="A2" s="251">
        <v>45659</v>
      </c>
      <c r="B2" s="252" t="s">
        <v>150</v>
      </c>
      <c r="C2" s="252" t="s">
        <v>151</v>
      </c>
      <c r="D2" s="253" t="s">
        <v>118</v>
      </c>
      <c r="E2" s="254">
        <v>20000</v>
      </c>
      <c r="F2" s="254">
        <v>35.074489446962986</v>
      </c>
      <c r="G2" s="255">
        <v>570.21500000000003</v>
      </c>
      <c r="H2" s="256" t="s">
        <v>152</v>
      </c>
      <c r="I2" s="256" t="s">
        <v>153</v>
      </c>
      <c r="J2" s="256" t="s">
        <v>97</v>
      </c>
      <c r="K2" s="257" t="s">
        <v>1902</v>
      </c>
      <c r="L2" s="256" t="s">
        <v>2086</v>
      </c>
      <c r="M2" s="252"/>
      <c r="N2" s="252"/>
      <c r="O2" s="252"/>
    </row>
    <row r="3" spans="1:15" hidden="1">
      <c r="A3" s="251">
        <v>45659</v>
      </c>
      <c r="B3" s="252" t="s">
        <v>155</v>
      </c>
      <c r="C3" s="252" t="s">
        <v>151</v>
      </c>
      <c r="D3" s="252" t="s">
        <v>117</v>
      </c>
      <c r="E3" s="254">
        <v>21000</v>
      </c>
      <c r="F3" s="254">
        <v>36.828213919311132</v>
      </c>
      <c r="G3" s="255">
        <v>570.21500000000003</v>
      </c>
      <c r="H3" s="256" t="s">
        <v>156</v>
      </c>
      <c r="I3" s="256" t="s">
        <v>157</v>
      </c>
      <c r="J3" s="256" t="s">
        <v>97</v>
      </c>
      <c r="K3" s="257" t="s">
        <v>1902</v>
      </c>
      <c r="L3" s="256" t="s">
        <v>2086</v>
      </c>
      <c r="M3" s="252"/>
      <c r="N3" s="252"/>
      <c r="O3" s="252"/>
    </row>
    <row r="4" spans="1:15" hidden="1">
      <c r="A4" s="251">
        <v>45659</v>
      </c>
      <c r="B4" s="252" t="s">
        <v>158</v>
      </c>
      <c r="C4" s="252" t="s">
        <v>151</v>
      </c>
      <c r="D4" s="253" t="s">
        <v>116</v>
      </c>
      <c r="E4" s="254">
        <v>95000</v>
      </c>
      <c r="F4" s="254">
        <v>166.60382487307419</v>
      </c>
      <c r="G4" s="255">
        <v>570.21500000000003</v>
      </c>
      <c r="H4" s="256" t="s">
        <v>156</v>
      </c>
      <c r="I4" s="256" t="s">
        <v>159</v>
      </c>
      <c r="J4" s="256" t="s">
        <v>97</v>
      </c>
      <c r="K4" s="257" t="s">
        <v>1902</v>
      </c>
      <c r="L4" s="256" t="s">
        <v>2086</v>
      </c>
      <c r="M4" s="252"/>
      <c r="N4" s="252"/>
      <c r="O4" s="252"/>
    </row>
    <row r="5" spans="1:15" hidden="1">
      <c r="A5" s="251">
        <v>45659</v>
      </c>
      <c r="B5" s="252" t="s">
        <v>160</v>
      </c>
      <c r="C5" s="252" t="s">
        <v>151</v>
      </c>
      <c r="D5" s="253" t="s">
        <v>442</v>
      </c>
      <c r="E5" s="254">
        <v>88000</v>
      </c>
      <c r="F5" s="254">
        <v>154.32775356663714</v>
      </c>
      <c r="G5" s="255">
        <v>570.21500000000003</v>
      </c>
      <c r="H5" s="256" t="s">
        <v>156</v>
      </c>
      <c r="I5" s="256" t="s">
        <v>161</v>
      </c>
      <c r="J5" s="256" t="s">
        <v>97</v>
      </c>
      <c r="K5" s="257" t="s">
        <v>1902</v>
      </c>
      <c r="L5" s="256" t="s">
        <v>2086</v>
      </c>
      <c r="M5" s="252"/>
      <c r="N5" s="252"/>
      <c r="O5" s="252"/>
    </row>
    <row r="6" spans="1:15" hidden="1">
      <c r="A6" s="251">
        <v>45659</v>
      </c>
      <c r="B6" s="252" t="s">
        <v>162</v>
      </c>
      <c r="C6" s="252" t="s">
        <v>151</v>
      </c>
      <c r="D6" s="252" t="s">
        <v>119</v>
      </c>
      <c r="E6" s="254">
        <v>10000</v>
      </c>
      <c r="F6" s="254">
        <v>17.537244723481493</v>
      </c>
      <c r="G6" s="255">
        <v>570.21500000000003</v>
      </c>
      <c r="H6" s="256" t="s">
        <v>156</v>
      </c>
      <c r="I6" s="256" t="s">
        <v>163</v>
      </c>
      <c r="J6" s="256" t="s">
        <v>97</v>
      </c>
      <c r="K6" s="257" t="s">
        <v>1902</v>
      </c>
      <c r="L6" s="256" t="s">
        <v>2086</v>
      </c>
      <c r="M6" s="252"/>
      <c r="N6" s="252"/>
      <c r="O6" s="252"/>
    </row>
    <row r="7" spans="1:15" hidden="1">
      <c r="A7" s="251">
        <v>45659</v>
      </c>
      <c r="B7" s="252" t="s">
        <v>164</v>
      </c>
      <c r="C7" s="252" t="s">
        <v>151</v>
      </c>
      <c r="D7" s="253" t="s">
        <v>116</v>
      </c>
      <c r="E7" s="254">
        <v>10000</v>
      </c>
      <c r="F7" s="254">
        <v>17.537244723481493</v>
      </c>
      <c r="G7" s="255">
        <v>570.21500000000003</v>
      </c>
      <c r="H7" s="256" t="s">
        <v>156</v>
      </c>
      <c r="I7" s="256" t="s">
        <v>165</v>
      </c>
      <c r="J7" s="256" t="s">
        <v>97</v>
      </c>
      <c r="K7" s="257" t="s">
        <v>1902</v>
      </c>
      <c r="L7" s="256" t="s">
        <v>2086</v>
      </c>
      <c r="M7" s="252"/>
      <c r="N7" s="252"/>
      <c r="O7" s="252"/>
    </row>
    <row r="8" spans="1:15" hidden="1">
      <c r="A8" s="251">
        <v>45659</v>
      </c>
      <c r="B8" s="252" t="s">
        <v>166</v>
      </c>
      <c r="C8" s="252" t="s">
        <v>151</v>
      </c>
      <c r="D8" s="253" t="s">
        <v>442</v>
      </c>
      <c r="E8" s="254">
        <v>16000</v>
      </c>
      <c r="F8" s="254">
        <v>28.059591557570389</v>
      </c>
      <c r="G8" s="255">
        <v>570.21500000000003</v>
      </c>
      <c r="H8" s="256" t="s">
        <v>156</v>
      </c>
      <c r="I8" s="256" t="s">
        <v>167</v>
      </c>
      <c r="J8" s="256" t="s">
        <v>97</v>
      </c>
      <c r="K8" s="257" t="s">
        <v>1902</v>
      </c>
      <c r="L8" s="256" t="s">
        <v>2086</v>
      </c>
      <c r="M8" s="252"/>
      <c r="N8" s="252"/>
      <c r="O8" s="252"/>
    </row>
    <row r="9" spans="1:15" hidden="1">
      <c r="A9" s="251">
        <v>45659</v>
      </c>
      <c r="B9" s="252" t="s">
        <v>168</v>
      </c>
      <c r="C9" s="252" t="s">
        <v>151</v>
      </c>
      <c r="D9" s="252" t="s">
        <v>119</v>
      </c>
      <c r="E9" s="254">
        <v>11000</v>
      </c>
      <c r="F9" s="254">
        <v>19.290969195829643</v>
      </c>
      <c r="G9" s="255">
        <v>570.21500000000003</v>
      </c>
      <c r="H9" s="256" t="s">
        <v>156</v>
      </c>
      <c r="I9" s="256" t="s">
        <v>169</v>
      </c>
      <c r="J9" s="256" t="s">
        <v>97</v>
      </c>
      <c r="K9" s="257" t="s">
        <v>1902</v>
      </c>
      <c r="L9" s="256" t="s">
        <v>2086</v>
      </c>
      <c r="M9" s="252"/>
      <c r="N9" s="252"/>
      <c r="O9" s="252"/>
    </row>
    <row r="10" spans="1:15" hidden="1">
      <c r="A10" s="251">
        <v>45660</v>
      </c>
      <c r="B10" s="252" t="s">
        <v>170</v>
      </c>
      <c r="C10" s="258" t="s">
        <v>1164</v>
      </c>
      <c r="D10" s="252" t="s">
        <v>117</v>
      </c>
      <c r="E10" s="254">
        <v>25000</v>
      </c>
      <c r="F10" s="254">
        <v>43.843111808703732</v>
      </c>
      <c r="G10" s="255">
        <v>570.21500000000003</v>
      </c>
      <c r="H10" s="256" t="s">
        <v>156</v>
      </c>
      <c r="I10" s="256" t="s">
        <v>172</v>
      </c>
      <c r="J10" s="256" t="s">
        <v>97</v>
      </c>
      <c r="K10" s="257" t="s">
        <v>1902</v>
      </c>
      <c r="L10" s="256" t="s">
        <v>2086</v>
      </c>
      <c r="M10" s="252"/>
      <c r="N10" s="252"/>
      <c r="O10" s="252"/>
    </row>
    <row r="11" spans="1:15" hidden="1">
      <c r="A11" s="251">
        <v>45663</v>
      </c>
      <c r="B11" s="252" t="s">
        <v>100</v>
      </c>
      <c r="C11" s="252" t="s">
        <v>122</v>
      </c>
      <c r="D11" s="253" t="s">
        <v>116</v>
      </c>
      <c r="E11" s="254">
        <v>300000</v>
      </c>
      <c r="F11" s="254">
        <v>526.11734170444481</v>
      </c>
      <c r="G11" s="255">
        <v>570.21500000000003</v>
      </c>
      <c r="H11" s="256" t="s">
        <v>147</v>
      </c>
      <c r="I11" s="256" t="s">
        <v>128</v>
      </c>
      <c r="J11" s="256" t="s">
        <v>97</v>
      </c>
      <c r="K11" s="257" t="s">
        <v>1902</v>
      </c>
      <c r="L11" s="256" t="s">
        <v>2086</v>
      </c>
      <c r="M11" s="252"/>
      <c r="N11" s="252"/>
      <c r="O11" s="252"/>
    </row>
    <row r="12" spans="1:15" hidden="1">
      <c r="A12" s="251">
        <v>45663</v>
      </c>
      <c r="B12" s="252" t="s">
        <v>101</v>
      </c>
      <c r="C12" s="252" t="s">
        <v>122</v>
      </c>
      <c r="D12" s="253" t="s">
        <v>116</v>
      </c>
      <c r="E12" s="254">
        <v>300000</v>
      </c>
      <c r="F12" s="254">
        <v>526.11734170444481</v>
      </c>
      <c r="G12" s="255">
        <v>570.21500000000003</v>
      </c>
      <c r="H12" s="256" t="s">
        <v>147</v>
      </c>
      <c r="I12" s="256" t="s">
        <v>129</v>
      </c>
      <c r="J12" s="256" t="s">
        <v>97</v>
      </c>
      <c r="K12" s="257" t="s">
        <v>1902</v>
      </c>
      <c r="L12" s="256" t="s">
        <v>2086</v>
      </c>
      <c r="M12" s="252"/>
      <c r="N12" s="252"/>
      <c r="O12" s="252"/>
    </row>
    <row r="13" spans="1:15" hidden="1">
      <c r="A13" s="251">
        <v>45663</v>
      </c>
      <c r="B13" s="252" t="s">
        <v>472</v>
      </c>
      <c r="C13" s="258" t="s">
        <v>125</v>
      </c>
      <c r="D13" s="252" t="s">
        <v>117</v>
      </c>
      <c r="E13" s="254">
        <v>500000</v>
      </c>
      <c r="F13" s="254">
        <v>838.65459674971032</v>
      </c>
      <c r="G13" s="255">
        <v>596.19299999999998</v>
      </c>
      <c r="H13" s="256" t="s">
        <v>147</v>
      </c>
      <c r="I13" s="256" t="s">
        <v>131</v>
      </c>
      <c r="J13" s="256" t="s">
        <v>97</v>
      </c>
      <c r="K13" s="257" t="s">
        <v>1902</v>
      </c>
      <c r="L13" s="256" t="s">
        <v>2086</v>
      </c>
      <c r="M13" s="252"/>
      <c r="N13" s="252"/>
      <c r="O13" s="252"/>
    </row>
    <row r="14" spans="1:15" hidden="1">
      <c r="A14" s="251">
        <v>45663</v>
      </c>
      <c r="B14" s="252" t="s">
        <v>475</v>
      </c>
      <c r="C14" s="258" t="s">
        <v>303</v>
      </c>
      <c r="D14" s="252" t="s">
        <v>117</v>
      </c>
      <c r="E14" s="254">
        <v>260000</v>
      </c>
      <c r="F14" s="254">
        <v>436.10039030984933</v>
      </c>
      <c r="G14" s="255">
        <v>596.19299999999998</v>
      </c>
      <c r="H14" s="256" t="s">
        <v>147</v>
      </c>
      <c r="I14" s="256" t="s">
        <v>141</v>
      </c>
      <c r="J14" s="256" t="s">
        <v>97</v>
      </c>
      <c r="K14" s="257" t="s">
        <v>1902</v>
      </c>
      <c r="L14" s="256" t="s">
        <v>2086</v>
      </c>
      <c r="M14" s="252"/>
      <c r="N14" s="252"/>
      <c r="O14" s="252"/>
    </row>
    <row r="15" spans="1:15" hidden="1">
      <c r="A15" s="251">
        <v>45663</v>
      </c>
      <c r="B15" s="252" t="s">
        <v>476</v>
      </c>
      <c r="C15" s="252" t="s">
        <v>122</v>
      </c>
      <c r="D15" s="253" t="s">
        <v>116</v>
      </c>
      <c r="E15" s="254">
        <v>150000</v>
      </c>
      <c r="F15" s="254">
        <v>251.59637902491309</v>
      </c>
      <c r="G15" s="255">
        <v>596.19299999999998</v>
      </c>
      <c r="H15" s="256" t="s">
        <v>147</v>
      </c>
      <c r="I15" s="256" t="s">
        <v>142</v>
      </c>
      <c r="J15" s="256" t="s">
        <v>97</v>
      </c>
      <c r="K15" s="257" t="s">
        <v>1902</v>
      </c>
      <c r="L15" s="256" t="s">
        <v>2086</v>
      </c>
      <c r="M15" s="252"/>
      <c r="N15" s="252"/>
      <c r="O15" s="252"/>
    </row>
    <row r="16" spans="1:15" hidden="1">
      <c r="A16" s="251">
        <v>45664</v>
      </c>
      <c r="B16" s="252" t="s">
        <v>3864</v>
      </c>
      <c r="C16" s="258" t="s">
        <v>173</v>
      </c>
      <c r="D16" s="253" t="s">
        <v>442</v>
      </c>
      <c r="E16" s="254">
        <v>7000</v>
      </c>
      <c r="F16" s="254">
        <v>12.276071306437045</v>
      </c>
      <c r="G16" s="255">
        <v>570.21500000000003</v>
      </c>
      <c r="H16" s="256" t="s">
        <v>174</v>
      </c>
      <c r="I16" s="256" t="s">
        <v>175</v>
      </c>
      <c r="J16" s="256" t="s">
        <v>97</v>
      </c>
      <c r="K16" s="257" t="s">
        <v>1902</v>
      </c>
      <c r="L16" s="256" t="s">
        <v>2086</v>
      </c>
      <c r="M16" s="252"/>
      <c r="N16" s="252"/>
      <c r="O16" s="252"/>
    </row>
    <row r="17" spans="1:15" hidden="1">
      <c r="A17" s="251">
        <v>45664</v>
      </c>
      <c r="B17" s="252" t="s">
        <v>3865</v>
      </c>
      <c r="C17" s="258" t="s">
        <v>176</v>
      </c>
      <c r="D17" s="253" t="s">
        <v>442</v>
      </c>
      <c r="E17" s="254">
        <v>100000</v>
      </c>
      <c r="F17" s="254">
        <v>175.37244723481493</v>
      </c>
      <c r="G17" s="255">
        <v>570.21500000000003</v>
      </c>
      <c r="H17" s="256" t="s">
        <v>174</v>
      </c>
      <c r="I17" s="256" t="s">
        <v>177</v>
      </c>
      <c r="J17" s="256" t="s">
        <v>97</v>
      </c>
      <c r="K17" s="257" t="s">
        <v>1902</v>
      </c>
      <c r="L17" s="256" t="s">
        <v>2086</v>
      </c>
      <c r="M17" s="252"/>
      <c r="N17" s="252"/>
      <c r="O17" s="252"/>
    </row>
    <row r="18" spans="1:15" hidden="1">
      <c r="A18" s="251">
        <v>45665</v>
      </c>
      <c r="B18" s="252" t="s">
        <v>178</v>
      </c>
      <c r="C18" s="258" t="s">
        <v>173</v>
      </c>
      <c r="D18" s="253" t="s">
        <v>118</v>
      </c>
      <c r="E18" s="254">
        <v>226000</v>
      </c>
      <c r="F18" s="254">
        <v>396.34173075068173</v>
      </c>
      <c r="G18" s="255">
        <v>570.21500000000003</v>
      </c>
      <c r="H18" s="256" t="s">
        <v>152</v>
      </c>
      <c r="I18" s="256" t="s">
        <v>179</v>
      </c>
      <c r="J18" s="256" t="s">
        <v>97</v>
      </c>
      <c r="K18" s="257" t="s">
        <v>1902</v>
      </c>
      <c r="L18" s="256" t="s">
        <v>2086</v>
      </c>
      <c r="M18" s="252"/>
      <c r="N18" s="252"/>
      <c r="O18" s="252"/>
    </row>
    <row r="19" spans="1:15" hidden="1">
      <c r="A19" s="251">
        <v>45665</v>
      </c>
      <c r="B19" s="252" t="s">
        <v>180</v>
      </c>
      <c r="C19" s="259" t="s">
        <v>2087</v>
      </c>
      <c r="D19" s="252" t="s">
        <v>117</v>
      </c>
      <c r="E19" s="254">
        <v>22640</v>
      </c>
      <c r="F19" s="254">
        <v>39.704322053962102</v>
      </c>
      <c r="G19" s="255">
        <v>570.21500000000003</v>
      </c>
      <c r="H19" s="256" t="s">
        <v>156</v>
      </c>
      <c r="I19" s="256" t="s">
        <v>182</v>
      </c>
      <c r="J19" s="256" t="s">
        <v>97</v>
      </c>
      <c r="K19" s="257" t="s">
        <v>1902</v>
      </c>
      <c r="L19" s="256" t="s">
        <v>2086</v>
      </c>
      <c r="M19" s="252"/>
      <c r="N19" s="252"/>
      <c r="O19" s="252"/>
    </row>
    <row r="20" spans="1:15" hidden="1">
      <c r="A20" s="251">
        <v>45665</v>
      </c>
      <c r="B20" s="252" t="s">
        <v>3754</v>
      </c>
      <c r="C20" s="258" t="s">
        <v>173</v>
      </c>
      <c r="D20" s="253" t="s">
        <v>442</v>
      </c>
      <c r="E20" s="254">
        <v>7000</v>
      </c>
      <c r="F20" s="254">
        <v>12.276071306437045</v>
      </c>
      <c r="G20" s="255">
        <v>570.21500000000003</v>
      </c>
      <c r="H20" s="256" t="s">
        <v>183</v>
      </c>
      <c r="I20" s="256" t="s">
        <v>184</v>
      </c>
      <c r="J20" s="256" t="s">
        <v>97</v>
      </c>
      <c r="K20" s="257" t="s">
        <v>1902</v>
      </c>
      <c r="L20" s="256" t="s">
        <v>2086</v>
      </c>
      <c r="M20" s="252"/>
      <c r="N20" s="252"/>
      <c r="O20" s="252"/>
    </row>
    <row r="21" spans="1:15" hidden="1">
      <c r="A21" s="251">
        <v>45665</v>
      </c>
      <c r="B21" s="252" t="s">
        <v>185</v>
      </c>
      <c r="C21" s="258" t="s">
        <v>173</v>
      </c>
      <c r="D21" s="253" t="s">
        <v>116</v>
      </c>
      <c r="E21" s="254">
        <v>7000</v>
      </c>
      <c r="F21" s="254">
        <v>12.276071306437045</v>
      </c>
      <c r="G21" s="255">
        <v>570.21500000000003</v>
      </c>
      <c r="H21" s="256" t="s">
        <v>186</v>
      </c>
      <c r="I21" s="256" t="s">
        <v>187</v>
      </c>
      <c r="J21" s="256" t="s">
        <v>97</v>
      </c>
      <c r="K21" s="257" t="s">
        <v>1902</v>
      </c>
      <c r="L21" s="256" t="s">
        <v>2086</v>
      </c>
      <c r="M21" s="252"/>
      <c r="N21" s="252"/>
      <c r="O21" s="252"/>
    </row>
    <row r="22" spans="1:15" hidden="1">
      <c r="A22" s="251">
        <v>45665</v>
      </c>
      <c r="B22" s="252" t="s">
        <v>188</v>
      </c>
      <c r="C22" s="258" t="s">
        <v>173</v>
      </c>
      <c r="D22" s="253" t="s">
        <v>116</v>
      </c>
      <c r="E22" s="254">
        <v>7000</v>
      </c>
      <c r="F22" s="254">
        <v>12.276071306437045</v>
      </c>
      <c r="G22" s="255">
        <v>570.21500000000003</v>
      </c>
      <c r="H22" s="256" t="s">
        <v>189</v>
      </c>
      <c r="I22" s="256" t="s">
        <v>190</v>
      </c>
      <c r="J22" s="256" t="s">
        <v>97</v>
      </c>
      <c r="K22" s="257" t="s">
        <v>1902</v>
      </c>
      <c r="L22" s="256" t="s">
        <v>2086</v>
      </c>
      <c r="M22" s="252"/>
      <c r="N22" s="252"/>
      <c r="O22" s="252"/>
    </row>
    <row r="23" spans="1:15" hidden="1">
      <c r="A23" s="251">
        <v>45665</v>
      </c>
      <c r="B23" s="252" t="s">
        <v>191</v>
      </c>
      <c r="C23" s="259" t="s">
        <v>2087</v>
      </c>
      <c r="D23" s="252" t="s">
        <v>117</v>
      </c>
      <c r="E23" s="254">
        <v>1860</v>
      </c>
      <c r="F23" s="254">
        <v>3.2619275185675578</v>
      </c>
      <c r="G23" s="255">
        <v>570.21500000000003</v>
      </c>
      <c r="H23" s="256" t="s">
        <v>192</v>
      </c>
      <c r="I23" s="256" t="s">
        <v>193</v>
      </c>
      <c r="J23" s="256" t="s">
        <v>97</v>
      </c>
      <c r="K23" s="257" t="s">
        <v>1902</v>
      </c>
      <c r="L23" s="256" t="s">
        <v>2086</v>
      </c>
      <c r="M23" s="252"/>
      <c r="N23" s="252"/>
      <c r="O23" s="252"/>
    </row>
    <row r="24" spans="1:15" hidden="1">
      <c r="A24" s="251">
        <v>45665</v>
      </c>
      <c r="B24" s="252" t="s">
        <v>194</v>
      </c>
      <c r="C24" s="258" t="s">
        <v>173</v>
      </c>
      <c r="D24" s="253" t="s">
        <v>116</v>
      </c>
      <c r="E24" s="254">
        <v>7000</v>
      </c>
      <c r="F24" s="254">
        <v>12.276071306437045</v>
      </c>
      <c r="G24" s="255">
        <v>570.21500000000003</v>
      </c>
      <c r="H24" s="256" t="s">
        <v>196</v>
      </c>
      <c r="I24" s="256" t="s">
        <v>197</v>
      </c>
      <c r="J24" s="256" t="s">
        <v>97</v>
      </c>
      <c r="K24" s="257" t="s">
        <v>1902</v>
      </c>
      <c r="L24" s="256" t="s">
        <v>2086</v>
      </c>
      <c r="M24" s="252"/>
      <c r="N24" s="252"/>
      <c r="O24" s="252"/>
    </row>
    <row r="25" spans="1:15" hidden="1">
      <c r="A25" s="251">
        <v>45666</v>
      </c>
      <c r="B25" s="252" t="s">
        <v>198</v>
      </c>
      <c r="C25" s="258" t="s">
        <v>173</v>
      </c>
      <c r="D25" s="252" t="s">
        <v>2088</v>
      </c>
      <c r="E25" s="254">
        <v>7000</v>
      </c>
      <c r="F25" s="254">
        <v>12.276071306437045</v>
      </c>
      <c r="G25" s="255">
        <v>570.21500000000003</v>
      </c>
      <c r="H25" s="256" t="s">
        <v>199</v>
      </c>
      <c r="I25" s="256" t="s">
        <v>200</v>
      </c>
      <c r="J25" s="256" t="s">
        <v>97</v>
      </c>
      <c r="K25" s="257" t="s">
        <v>1902</v>
      </c>
      <c r="L25" s="256" t="s">
        <v>2086</v>
      </c>
      <c r="M25" s="252"/>
      <c r="N25" s="252"/>
      <c r="O25" s="252"/>
    </row>
    <row r="26" spans="1:15" hidden="1">
      <c r="A26" s="251">
        <v>45666</v>
      </c>
      <c r="B26" s="252" t="s">
        <v>3755</v>
      </c>
      <c r="C26" s="258" t="s">
        <v>176</v>
      </c>
      <c r="D26" s="253" t="s">
        <v>442</v>
      </c>
      <c r="E26" s="254">
        <v>80000</v>
      </c>
      <c r="F26" s="254">
        <v>140.29795778785194</v>
      </c>
      <c r="G26" s="255">
        <v>570.21500000000003</v>
      </c>
      <c r="H26" s="256" t="s">
        <v>183</v>
      </c>
      <c r="I26" s="256" t="s">
        <v>202</v>
      </c>
      <c r="J26" s="256" t="s">
        <v>97</v>
      </c>
      <c r="K26" s="257" t="s">
        <v>1902</v>
      </c>
      <c r="L26" s="256" t="s">
        <v>2086</v>
      </c>
      <c r="M26" s="252"/>
      <c r="N26" s="252"/>
      <c r="O26" s="252"/>
    </row>
    <row r="27" spans="1:15" hidden="1">
      <c r="A27" s="251">
        <v>45666</v>
      </c>
      <c r="B27" s="252" t="s">
        <v>203</v>
      </c>
      <c r="C27" s="258" t="s">
        <v>176</v>
      </c>
      <c r="D27" s="253" t="s">
        <v>116</v>
      </c>
      <c r="E27" s="254">
        <v>160000</v>
      </c>
      <c r="F27" s="254">
        <v>280.59591557570388</v>
      </c>
      <c r="G27" s="255">
        <v>570.21500000000003</v>
      </c>
      <c r="H27" s="256" t="s">
        <v>186</v>
      </c>
      <c r="I27" s="256" t="s">
        <v>204</v>
      </c>
      <c r="J27" s="256" t="s">
        <v>97</v>
      </c>
      <c r="K27" s="257" t="s">
        <v>1902</v>
      </c>
      <c r="L27" s="256" t="s">
        <v>2086</v>
      </c>
      <c r="M27" s="252"/>
      <c r="N27" s="252"/>
      <c r="O27" s="252"/>
    </row>
    <row r="28" spans="1:15" hidden="1">
      <c r="A28" s="251">
        <v>45666</v>
      </c>
      <c r="B28" s="252" t="s">
        <v>205</v>
      </c>
      <c r="C28" s="258" t="s">
        <v>176</v>
      </c>
      <c r="D28" s="253" t="s">
        <v>116</v>
      </c>
      <c r="E28" s="254">
        <v>80000</v>
      </c>
      <c r="F28" s="254">
        <v>140.29795778785194</v>
      </c>
      <c r="G28" s="255">
        <v>570.21500000000003</v>
      </c>
      <c r="H28" s="256" t="s">
        <v>189</v>
      </c>
      <c r="I28" s="256" t="s">
        <v>206</v>
      </c>
      <c r="J28" s="256" t="s">
        <v>97</v>
      </c>
      <c r="K28" s="257" t="s">
        <v>1902</v>
      </c>
      <c r="L28" s="256" t="s">
        <v>2086</v>
      </c>
      <c r="M28" s="252"/>
      <c r="N28" s="252"/>
      <c r="O28" s="252"/>
    </row>
    <row r="29" spans="1:15" hidden="1">
      <c r="A29" s="251">
        <v>45666</v>
      </c>
      <c r="B29" s="252" t="s">
        <v>207</v>
      </c>
      <c r="C29" s="259" t="s">
        <v>2087</v>
      </c>
      <c r="D29" s="252" t="s">
        <v>117</v>
      </c>
      <c r="E29" s="254">
        <v>32070</v>
      </c>
      <c r="F29" s="254">
        <v>56.241943828205144</v>
      </c>
      <c r="G29" s="255">
        <v>570.21500000000003</v>
      </c>
      <c r="H29" s="256" t="s">
        <v>192</v>
      </c>
      <c r="I29" s="256" t="s">
        <v>208</v>
      </c>
      <c r="J29" s="256" t="s">
        <v>97</v>
      </c>
      <c r="K29" s="257" t="s">
        <v>1902</v>
      </c>
      <c r="L29" s="256" t="s">
        <v>2086</v>
      </c>
      <c r="M29" s="252"/>
      <c r="N29" s="252"/>
      <c r="O29" s="252"/>
    </row>
    <row r="30" spans="1:15" hidden="1">
      <c r="A30" s="251">
        <v>45666</v>
      </c>
      <c r="B30" s="252" t="s">
        <v>209</v>
      </c>
      <c r="C30" s="258" t="s">
        <v>176</v>
      </c>
      <c r="D30" s="253" t="s">
        <v>116</v>
      </c>
      <c r="E30" s="254">
        <v>100000</v>
      </c>
      <c r="F30" s="254">
        <v>175.37244723481493</v>
      </c>
      <c r="G30" s="255">
        <v>570.21500000000003</v>
      </c>
      <c r="H30" s="256" t="s">
        <v>196</v>
      </c>
      <c r="I30" s="256" t="s">
        <v>210</v>
      </c>
      <c r="J30" s="256" t="s">
        <v>97</v>
      </c>
      <c r="K30" s="257" t="s">
        <v>1902</v>
      </c>
      <c r="L30" s="256" t="s">
        <v>2086</v>
      </c>
      <c r="M30" s="252"/>
      <c r="N30" s="252"/>
      <c r="O30" s="252"/>
    </row>
    <row r="31" spans="1:15" hidden="1">
      <c r="A31" s="251">
        <v>45666</v>
      </c>
      <c r="B31" s="252" t="s">
        <v>211</v>
      </c>
      <c r="C31" s="258" t="s">
        <v>173</v>
      </c>
      <c r="D31" s="252" t="s">
        <v>119</v>
      </c>
      <c r="E31" s="254">
        <v>7000</v>
      </c>
      <c r="F31" s="254">
        <v>12.276071306437045</v>
      </c>
      <c r="G31" s="255">
        <v>570.21500000000003</v>
      </c>
      <c r="H31" s="256" t="s">
        <v>212</v>
      </c>
      <c r="I31" s="256" t="s">
        <v>213</v>
      </c>
      <c r="J31" s="256" t="s">
        <v>97</v>
      </c>
      <c r="K31" s="257" t="s">
        <v>1902</v>
      </c>
      <c r="L31" s="256" t="s">
        <v>2086</v>
      </c>
      <c r="M31" s="252"/>
      <c r="N31" s="252"/>
      <c r="O31" s="252"/>
    </row>
    <row r="32" spans="1:15" hidden="1">
      <c r="A32" s="251">
        <v>45667</v>
      </c>
      <c r="B32" s="252" t="s">
        <v>214</v>
      </c>
      <c r="C32" s="258" t="s">
        <v>176</v>
      </c>
      <c r="D32" s="253" t="s">
        <v>116</v>
      </c>
      <c r="E32" s="254">
        <v>150000</v>
      </c>
      <c r="F32" s="254">
        <v>263.05867085222241</v>
      </c>
      <c r="G32" s="255">
        <v>570.21500000000003</v>
      </c>
      <c r="H32" s="256" t="s">
        <v>199</v>
      </c>
      <c r="I32" s="256" t="s">
        <v>215</v>
      </c>
      <c r="J32" s="256" t="s">
        <v>97</v>
      </c>
      <c r="K32" s="257" t="s">
        <v>1902</v>
      </c>
      <c r="L32" s="256" t="s">
        <v>2086</v>
      </c>
      <c r="M32" s="252"/>
      <c r="N32" s="252"/>
      <c r="O32" s="252"/>
    </row>
    <row r="33" spans="1:15" hidden="1">
      <c r="A33" s="251">
        <v>45667</v>
      </c>
      <c r="B33" s="252" t="s">
        <v>217</v>
      </c>
      <c r="C33" s="258" t="s">
        <v>125</v>
      </c>
      <c r="D33" s="252" t="s">
        <v>117</v>
      </c>
      <c r="E33" s="254">
        <v>59466</v>
      </c>
      <c r="F33" s="254">
        <v>104.28697947265505</v>
      </c>
      <c r="G33" s="255">
        <v>570.21500000000003</v>
      </c>
      <c r="H33" s="256" t="s">
        <v>192</v>
      </c>
      <c r="I33" s="256" t="s">
        <v>218</v>
      </c>
      <c r="J33" s="256" t="s">
        <v>97</v>
      </c>
      <c r="K33" s="257" t="s">
        <v>1902</v>
      </c>
      <c r="L33" s="256" t="s">
        <v>2086</v>
      </c>
      <c r="M33" s="252"/>
      <c r="N33" s="252"/>
      <c r="O33" s="252"/>
    </row>
    <row r="34" spans="1:15" hidden="1">
      <c r="A34" s="251">
        <v>45667</v>
      </c>
      <c r="B34" s="252" t="s">
        <v>219</v>
      </c>
      <c r="C34" s="258" t="s">
        <v>176</v>
      </c>
      <c r="D34" s="252" t="s">
        <v>119</v>
      </c>
      <c r="E34" s="254">
        <v>70000</v>
      </c>
      <c r="F34" s="254">
        <v>122.76071306437045</v>
      </c>
      <c r="G34" s="255">
        <v>570.21500000000003</v>
      </c>
      <c r="H34" s="256" t="s">
        <v>212</v>
      </c>
      <c r="I34" s="256" t="s">
        <v>220</v>
      </c>
      <c r="J34" s="256" t="s">
        <v>97</v>
      </c>
      <c r="K34" s="257" t="s">
        <v>1902</v>
      </c>
      <c r="L34" s="256" t="s">
        <v>2086</v>
      </c>
      <c r="M34" s="252"/>
      <c r="N34" s="252"/>
      <c r="O34" s="252"/>
    </row>
    <row r="35" spans="1:15" hidden="1">
      <c r="A35" s="251">
        <v>45670</v>
      </c>
      <c r="B35" s="252" t="s">
        <v>221</v>
      </c>
      <c r="C35" s="258" t="s">
        <v>176</v>
      </c>
      <c r="D35" s="252" t="s">
        <v>2088</v>
      </c>
      <c r="E35" s="254">
        <v>45000</v>
      </c>
      <c r="F35" s="254">
        <v>78.917601255666725</v>
      </c>
      <c r="G35" s="255">
        <v>570.21500000000003</v>
      </c>
      <c r="H35" s="256" t="s">
        <v>199</v>
      </c>
      <c r="I35" s="256" t="s">
        <v>222</v>
      </c>
      <c r="J35" s="256" t="s">
        <v>97</v>
      </c>
      <c r="K35" s="257" t="s">
        <v>1902</v>
      </c>
      <c r="L35" s="256" t="s">
        <v>2086</v>
      </c>
      <c r="M35" s="252"/>
      <c r="N35" s="252"/>
      <c r="O35" s="252"/>
    </row>
    <row r="36" spans="1:15" hidden="1">
      <c r="A36" s="251">
        <v>45670</v>
      </c>
      <c r="B36" s="252" t="s">
        <v>3756</v>
      </c>
      <c r="C36" s="258" t="s">
        <v>176</v>
      </c>
      <c r="D36" s="253" t="s">
        <v>442</v>
      </c>
      <c r="E36" s="254">
        <v>60000</v>
      </c>
      <c r="F36" s="254">
        <v>105.22346834088896</v>
      </c>
      <c r="G36" s="255">
        <v>570.21500000000003</v>
      </c>
      <c r="H36" s="256" t="s">
        <v>183</v>
      </c>
      <c r="I36" s="256" t="s">
        <v>223</v>
      </c>
      <c r="J36" s="256" t="s">
        <v>97</v>
      </c>
      <c r="K36" s="257" t="s">
        <v>1902</v>
      </c>
      <c r="L36" s="256" t="s">
        <v>2086</v>
      </c>
      <c r="M36" s="252"/>
      <c r="N36" s="252"/>
      <c r="O36" s="252"/>
    </row>
    <row r="37" spans="1:15" hidden="1">
      <c r="A37" s="251">
        <v>45670</v>
      </c>
      <c r="B37" s="252" t="s">
        <v>191</v>
      </c>
      <c r="C37" s="259" t="s">
        <v>2087</v>
      </c>
      <c r="D37" s="252" t="s">
        <v>117</v>
      </c>
      <c r="E37" s="254">
        <v>1000</v>
      </c>
      <c r="F37" s="254">
        <v>1.7537244723481493</v>
      </c>
      <c r="G37" s="255">
        <v>570.21500000000003</v>
      </c>
      <c r="H37" s="256" t="s">
        <v>192</v>
      </c>
      <c r="I37" s="256" t="s">
        <v>224</v>
      </c>
      <c r="J37" s="256" t="s">
        <v>97</v>
      </c>
      <c r="K37" s="257" t="s">
        <v>1902</v>
      </c>
      <c r="L37" s="256" t="s">
        <v>2086</v>
      </c>
      <c r="M37" s="252"/>
      <c r="N37" s="252"/>
      <c r="O37" s="252"/>
    </row>
    <row r="38" spans="1:15" hidden="1">
      <c r="A38" s="251">
        <v>45671</v>
      </c>
      <c r="B38" s="252" t="s">
        <v>470</v>
      </c>
      <c r="C38" s="258" t="s">
        <v>176</v>
      </c>
      <c r="D38" s="253" t="s">
        <v>118</v>
      </c>
      <c r="E38" s="254">
        <v>245000</v>
      </c>
      <c r="F38" s="254">
        <v>429.66249572529659</v>
      </c>
      <c r="G38" s="255">
        <v>570.21500000000003</v>
      </c>
      <c r="H38" s="256" t="s">
        <v>189</v>
      </c>
      <c r="I38" s="256" t="s">
        <v>216</v>
      </c>
      <c r="J38" s="256" t="s">
        <v>97</v>
      </c>
      <c r="K38" s="257" t="s">
        <v>1902</v>
      </c>
      <c r="L38" s="256" t="s">
        <v>2086</v>
      </c>
      <c r="M38" s="252"/>
      <c r="N38" s="252"/>
      <c r="O38" s="252"/>
    </row>
    <row r="39" spans="1:15" hidden="1">
      <c r="A39" s="251">
        <v>45671</v>
      </c>
      <c r="B39" s="252" t="s">
        <v>225</v>
      </c>
      <c r="C39" s="259" t="s">
        <v>2087</v>
      </c>
      <c r="D39" s="252" t="s">
        <v>117</v>
      </c>
      <c r="E39" s="254">
        <v>8100</v>
      </c>
      <c r="F39" s="254">
        <v>14.205168226020009</v>
      </c>
      <c r="G39" s="255">
        <v>570.21500000000003</v>
      </c>
      <c r="H39" s="256" t="s">
        <v>192</v>
      </c>
      <c r="I39" s="256" t="s">
        <v>226</v>
      </c>
      <c r="J39" s="256" t="s">
        <v>97</v>
      </c>
      <c r="K39" s="257" t="s">
        <v>1902</v>
      </c>
      <c r="L39" s="256" t="s">
        <v>2086</v>
      </c>
      <c r="M39" s="252"/>
      <c r="N39" s="252"/>
      <c r="O39" s="252"/>
    </row>
    <row r="40" spans="1:15" hidden="1">
      <c r="A40" s="251">
        <v>45672</v>
      </c>
      <c r="B40" s="252" t="s">
        <v>227</v>
      </c>
      <c r="C40" s="258" t="s">
        <v>176</v>
      </c>
      <c r="D40" s="252" t="s">
        <v>2088</v>
      </c>
      <c r="E40" s="254">
        <v>9750</v>
      </c>
      <c r="F40" s="254">
        <v>17.098813605394454</v>
      </c>
      <c r="G40" s="255">
        <v>570.21500000000003</v>
      </c>
      <c r="H40" s="256" t="s">
        <v>199</v>
      </c>
      <c r="I40" s="256" t="s">
        <v>228</v>
      </c>
      <c r="J40" s="256" t="s">
        <v>97</v>
      </c>
      <c r="K40" s="257" t="s">
        <v>1902</v>
      </c>
      <c r="L40" s="256" t="s">
        <v>2086</v>
      </c>
      <c r="M40" s="252"/>
      <c r="N40" s="252"/>
      <c r="O40" s="252"/>
    </row>
    <row r="41" spans="1:15" hidden="1">
      <c r="A41" s="251">
        <v>45672</v>
      </c>
      <c r="B41" s="252" t="s">
        <v>229</v>
      </c>
      <c r="C41" s="252" t="s">
        <v>151</v>
      </c>
      <c r="D41" s="253" t="s">
        <v>118</v>
      </c>
      <c r="E41" s="254">
        <v>31000</v>
      </c>
      <c r="F41" s="254">
        <v>54.365458642792625</v>
      </c>
      <c r="G41" s="255">
        <v>570.21500000000003</v>
      </c>
      <c r="H41" s="256" t="s">
        <v>156</v>
      </c>
      <c r="I41" s="256" t="s">
        <v>230</v>
      </c>
      <c r="J41" s="256" t="s">
        <v>97</v>
      </c>
      <c r="K41" s="257" t="s">
        <v>1902</v>
      </c>
      <c r="L41" s="256" t="s">
        <v>2086</v>
      </c>
      <c r="M41" s="252"/>
      <c r="N41" s="252"/>
      <c r="O41" s="252"/>
    </row>
    <row r="42" spans="1:15" hidden="1">
      <c r="A42" s="251">
        <v>45672</v>
      </c>
      <c r="B42" s="252" t="s">
        <v>231</v>
      </c>
      <c r="C42" s="252" t="s">
        <v>151</v>
      </c>
      <c r="D42" s="253" t="s">
        <v>116</v>
      </c>
      <c r="E42" s="254">
        <v>35000</v>
      </c>
      <c r="F42" s="254">
        <v>61.380356532185225</v>
      </c>
      <c r="G42" s="255">
        <v>570.21500000000003</v>
      </c>
      <c r="H42" s="256" t="s">
        <v>156</v>
      </c>
      <c r="I42" s="256" t="s">
        <v>232</v>
      </c>
      <c r="J42" s="256" t="s">
        <v>97</v>
      </c>
      <c r="K42" s="257" t="s">
        <v>1902</v>
      </c>
      <c r="L42" s="256" t="s">
        <v>2086</v>
      </c>
      <c r="M42" s="252"/>
      <c r="N42" s="252"/>
      <c r="O42" s="252"/>
    </row>
    <row r="43" spans="1:15" hidden="1">
      <c r="A43" s="251">
        <v>45672</v>
      </c>
      <c r="B43" s="252" t="s">
        <v>233</v>
      </c>
      <c r="C43" s="252" t="s">
        <v>151</v>
      </c>
      <c r="D43" s="253" t="s">
        <v>442</v>
      </c>
      <c r="E43" s="254">
        <v>50000</v>
      </c>
      <c r="F43" s="254">
        <v>87.686223617407464</v>
      </c>
      <c r="G43" s="255">
        <v>570.21500000000003</v>
      </c>
      <c r="H43" s="256" t="s">
        <v>156</v>
      </c>
      <c r="I43" s="256" t="s">
        <v>234</v>
      </c>
      <c r="J43" s="256" t="s">
        <v>97</v>
      </c>
      <c r="K43" s="257" t="s">
        <v>1902</v>
      </c>
      <c r="L43" s="256" t="s">
        <v>2086</v>
      </c>
      <c r="M43" s="252"/>
      <c r="N43" s="252"/>
      <c r="O43" s="252"/>
    </row>
    <row r="44" spans="1:15" hidden="1">
      <c r="A44" s="251">
        <v>45672</v>
      </c>
      <c r="B44" s="252" t="s">
        <v>235</v>
      </c>
      <c r="C44" s="252" t="s">
        <v>151</v>
      </c>
      <c r="D44" s="252" t="s">
        <v>119</v>
      </c>
      <c r="E44" s="254">
        <v>10000</v>
      </c>
      <c r="F44" s="254">
        <v>17.537244723481493</v>
      </c>
      <c r="G44" s="255">
        <v>570.21500000000003</v>
      </c>
      <c r="H44" s="256" t="s">
        <v>156</v>
      </c>
      <c r="I44" s="256" t="s">
        <v>236</v>
      </c>
      <c r="J44" s="256" t="s">
        <v>97</v>
      </c>
      <c r="K44" s="257" t="s">
        <v>1902</v>
      </c>
      <c r="L44" s="256" t="s">
        <v>2086</v>
      </c>
      <c r="M44" s="252"/>
      <c r="N44" s="252"/>
      <c r="O44" s="252"/>
    </row>
    <row r="45" spans="1:15" hidden="1">
      <c r="A45" s="251">
        <v>45672</v>
      </c>
      <c r="B45" s="252" t="s">
        <v>237</v>
      </c>
      <c r="C45" s="252" t="s">
        <v>151</v>
      </c>
      <c r="D45" s="253" t="s">
        <v>116</v>
      </c>
      <c r="E45" s="254">
        <v>10000</v>
      </c>
      <c r="F45" s="254">
        <v>17.537244723481493</v>
      </c>
      <c r="G45" s="255">
        <v>570.21500000000003</v>
      </c>
      <c r="H45" s="256" t="s">
        <v>156</v>
      </c>
      <c r="I45" s="256" t="s">
        <v>238</v>
      </c>
      <c r="J45" s="256" t="s">
        <v>97</v>
      </c>
      <c r="K45" s="257" t="s">
        <v>1902</v>
      </c>
      <c r="L45" s="256" t="s">
        <v>2086</v>
      </c>
      <c r="M45" s="252"/>
      <c r="N45" s="252"/>
      <c r="O45" s="252"/>
    </row>
    <row r="46" spans="1:15" hidden="1">
      <c r="A46" s="251">
        <v>45672</v>
      </c>
      <c r="B46" s="252" t="s">
        <v>239</v>
      </c>
      <c r="C46" s="252" t="s">
        <v>151</v>
      </c>
      <c r="D46" s="253" t="s">
        <v>442</v>
      </c>
      <c r="E46" s="254">
        <v>5000</v>
      </c>
      <c r="F46" s="254">
        <v>8.7686223617407464</v>
      </c>
      <c r="G46" s="255">
        <v>570.21500000000003</v>
      </c>
      <c r="H46" s="256" t="s">
        <v>156</v>
      </c>
      <c r="I46" s="256" t="s">
        <v>240</v>
      </c>
      <c r="J46" s="256" t="s">
        <v>97</v>
      </c>
      <c r="K46" s="257" t="s">
        <v>1902</v>
      </c>
      <c r="L46" s="256" t="s">
        <v>2086</v>
      </c>
      <c r="M46" s="252"/>
      <c r="N46" s="252"/>
      <c r="O46" s="252"/>
    </row>
    <row r="47" spans="1:15" hidden="1">
      <c r="A47" s="251">
        <v>45672</v>
      </c>
      <c r="B47" s="252" t="s">
        <v>3757</v>
      </c>
      <c r="C47" s="258" t="s">
        <v>173</v>
      </c>
      <c r="D47" s="253" t="s">
        <v>442</v>
      </c>
      <c r="E47" s="254">
        <v>50000</v>
      </c>
      <c r="F47" s="254">
        <v>87.686223617407464</v>
      </c>
      <c r="G47" s="255">
        <v>570.21500000000003</v>
      </c>
      <c r="H47" s="256" t="s">
        <v>183</v>
      </c>
      <c r="I47" s="256" t="s">
        <v>241</v>
      </c>
      <c r="J47" s="256" t="s">
        <v>97</v>
      </c>
      <c r="K47" s="257" t="s">
        <v>1902</v>
      </c>
      <c r="L47" s="256" t="s">
        <v>2086</v>
      </c>
      <c r="M47" s="252"/>
      <c r="N47" s="252"/>
      <c r="O47" s="252"/>
    </row>
    <row r="48" spans="1:15" hidden="1">
      <c r="A48" s="251">
        <v>45672</v>
      </c>
      <c r="B48" s="252" t="s">
        <v>3866</v>
      </c>
      <c r="C48" s="258" t="s">
        <v>176</v>
      </c>
      <c r="D48" s="253" t="s">
        <v>442</v>
      </c>
      <c r="E48" s="254">
        <v>120000</v>
      </c>
      <c r="F48" s="254">
        <v>210.44693668177791</v>
      </c>
      <c r="G48" s="255">
        <v>570.21500000000003</v>
      </c>
      <c r="H48" s="256" t="s">
        <v>174</v>
      </c>
      <c r="I48" s="256" t="s">
        <v>242</v>
      </c>
      <c r="J48" s="256" t="s">
        <v>97</v>
      </c>
      <c r="K48" s="257" t="s">
        <v>1902</v>
      </c>
      <c r="L48" s="256" t="s">
        <v>2086</v>
      </c>
      <c r="M48" s="252"/>
      <c r="N48" s="252"/>
      <c r="O48" s="252"/>
    </row>
    <row r="49" spans="1:15" hidden="1">
      <c r="A49" s="251">
        <v>45672</v>
      </c>
      <c r="B49" s="252" t="s">
        <v>243</v>
      </c>
      <c r="C49" s="258" t="s">
        <v>173</v>
      </c>
      <c r="D49" s="252" t="s">
        <v>2088</v>
      </c>
      <c r="E49" s="254">
        <v>8500</v>
      </c>
      <c r="F49" s="254">
        <v>14.90665801495927</v>
      </c>
      <c r="G49" s="255">
        <v>570.21500000000003</v>
      </c>
      <c r="H49" s="256" t="s">
        <v>186</v>
      </c>
      <c r="I49" s="256" t="s">
        <v>244</v>
      </c>
      <c r="J49" s="256" t="s">
        <v>97</v>
      </c>
      <c r="K49" s="257" t="s">
        <v>1902</v>
      </c>
      <c r="L49" s="256" t="s">
        <v>2086</v>
      </c>
      <c r="M49" s="252"/>
      <c r="N49" s="252"/>
      <c r="O49" s="252"/>
    </row>
    <row r="50" spans="1:15" hidden="1">
      <c r="A50" s="251">
        <v>45672</v>
      </c>
      <c r="B50" s="252" t="s">
        <v>243</v>
      </c>
      <c r="C50" s="258" t="s">
        <v>173</v>
      </c>
      <c r="D50" s="252" t="s">
        <v>2088</v>
      </c>
      <c r="E50" s="254">
        <v>8500</v>
      </c>
      <c r="F50" s="254">
        <v>14.90665801495927</v>
      </c>
      <c r="G50" s="255">
        <v>570.21500000000003</v>
      </c>
      <c r="H50" s="256" t="s">
        <v>186</v>
      </c>
      <c r="I50" s="256" t="s">
        <v>245</v>
      </c>
      <c r="J50" s="256" t="s">
        <v>97</v>
      </c>
      <c r="K50" s="257" t="s">
        <v>1902</v>
      </c>
      <c r="L50" s="256" t="s">
        <v>2086</v>
      </c>
      <c r="M50" s="252"/>
      <c r="N50" s="252"/>
      <c r="O50" s="252"/>
    </row>
    <row r="51" spans="1:15" hidden="1">
      <c r="A51" s="251">
        <v>45672</v>
      </c>
      <c r="B51" s="252" t="s">
        <v>246</v>
      </c>
      <c r="C51" s="258" t="s">
        <v>176</v>
      </c>
      <c r="D51" s="252" t="s">
        <v>2088</v>
      </c>
      <c r="E51" s="254">
        <v>10100</v>
      </c>
      <c r="F51" s="254">
        <v>17.712617170716307</v>
      </c>
      <c r="G51" s="255">
        <v>570.21500000000003</v>
      </c>
      <c r="H51" s="256" t="s">
        <v>186</v>
      </c>
      <c r="I51" s="256" t="s">
        <v>247</v>
      </c>
      <c r="J51" s="256" t="s">
        <v>97</v>
      </c>
      <c r="K51" s="257" t="s">
        <v>1902</v>
      </c>
      <c r="L51" s="256" t="s">
        <v>2086</v>
      </c>
      <c r="M51" s="252"/>
      <c r="N51" s="252"/>
      <c r="O51" s="252"/>
    </row>
    <row r="52" spans="1:15" hidden="1">
      <c r="A52" s="251">
        <v>45672</v>
      </c>
      <c r="B52" s="252" t="s">
        <v>248</v>
      </c>
      <c r="C52" s="258" t="s">
        <v>176</v>
      </c>
      <c r="D52" s="253" t="s">
        <v>116</v>
      </c>
      <c r="E52" s="254">
        <v>90000</v>
      </c>
      <c r="F52" s="254">
        <v>157.83520251133345</v>
      </c>
      <c r="G52" s="255">
        <v>570.21500000000003</v>
      </c>
      <c r="H52" s="256" t="s">
        <v>189</v>
      </c>
      <c r="I52" s="256" t="s">
        <v>249</v>
      </c>
      <c r="J52" s="256" t="s">
        <v>97</v>
      </c>
      <c r="K52" s="257" t="s">
        <v>1902</v>
      </c>
      <c r="L52" s="256" t="s">
        <v>2086</v>
      </c>
      <c r="M52" s="252"/>
      <c r="N52" s="252"/>
      <c r="O52" s="252"/>
    </row>
    <row r="53" spans="1:15" hidden="1">
      <c r="A53" s="251">
        <v>45672</v>
      </c>
      <c r="B53" s="252" t="s">
        <v>250</v>
      </c>
      <c r="C53" s="258" t="s">
        <v>176</v>
      </c>
      <c r="D53" s="252" t="s">
        <v>2088</v>
      </c>
      <c r="E53" s="254">
        <v>9600</v>
      </c>
      <c r="F53" s="254">
        <v>16.835754934542233</v>
      </c>
      <c r="G53" s="255">
        <v>570.21500000000003</v>
      </c>
      <c r="H53" s="256" t="s">
        <v>189</v>
      </c>
      <c r="I53" s="256" t="s">
        <v>251</v>
      </c>
      <c r="J53" s="256" t="s">
        <v>97</v>
      </c>
      <c r="K53" s="257" t="s">
        <v>1902</v>
      </c>
      <c r="L53" s="256" t="s">
        <v>2086</v>
      </c>
      <c r="M53" s="252"/>
      <c r="N53" s="252"/>
      <c r="O53" s="252"/>
    </row>
    <row r="54" spans="1:15" hidden="1">
      <c r="A54" s="251">
        <v>45672</v>
      </c>
      <c r="B54" s="252" t="s">
        <v>252</v>
      </c>
      <c r="C54" s="258" t="s">
        <v>173</v>
      </c>
      <c r="D54" s="253" t="s">
        <v>116</v>
      </c>
      <c r="E54" s="254">
        <v>8000</v>
      </c>
      <c r="F54" s="254">
        <v>14.029795778785195</v>
      </c>
      <c r="G54" s="255">
        <v>570.21500000000003</v>
      </c>
      <c r="H54" s="256" t="s">
        <v>192</v>
      </c>
      <c r="I54" s="256" t="s">
        <v>253</v>
      </c>
      <c r="J54" s="256" t="s">
        <v>97</v>
      </c>
      <c r="K54" s="257" t="s">
        <v>1902</v>
      </c>
      <c r="L54" s="256" t="s">
        <v>2086</v>
      </c>
      <c r="M54" s="252"/>
      <c r="N54" s="252"/>
      <c r="O54" s="252"/>
    </row>
    <row r="55" spans="1:15" hidden="1">
      <c r="A55" s="251">
        <v>45672</v>
      </c>
      <c r="B55" s="252" t="s">
        <v>254</v>
      </c>
      <c r="C55" s="252" t="s">
        <v>255</v>
      </c>
      <c r="D55" s="253" t="s">
        <v>116</v>
      </c>
      <c r="E55" s="254">
        <v>72000</v>
      </c>
      <c r="F55" s="254">
        <v>126.26816200906674</v>
      </c>
      <c r="G55" s="255">
        <v>570.21500000000003</v>
      </c>
      <c r="H55" s="256" t="s">
        <v>192</v>
      </c>
      <c r="I55" s="256" t="s">
        <v>256</v>
      </c>
      <c r="J55" s="256" t="s">
        <v>97</v>
      </c>
      <c r="K55" s="257" t="s">
        <v>1902</v>
      </c>
      <c r="L55" s="256" t="s">
        <v>2086</v>
      </c>
      <c r="M55" s="252"/>
      <c r="N55" s="252"/>
      <c r="O55" s="252"/>
    </row>
    <row r="56" spans="1:15" hidden="1">
      <c r="A56" s="251">
        <v>45672</v>
      </c>
      <c r="B56" s="252" t="s">
        <v>257</v>
      </c>
      <c r="C56" s="258" t="s">
        <v>173</v>
      </c>
      <c r="D56" s="252" t="s">
        <v>2088</v>
      </c>
      <c r="E56" s="254">
        <v>25000</v>
      </c>
      <c r="F56" s="254">
        <v>43.843111808703732</v>
      </c>
      <c r="G56" s="255">
        <v>570.21500000000003</v>
      </c>
      <c r="H56" s="256" t="s">
        <v>196</v>
      </c>
      <c r="I56" s="256" t="s">
        <v>258</v>
      </c>
      <c r="J56" s="256" t="s">
        <v>97</v>
      </c>
      <c r="K56" s="257" t="s">
        <v>1902</v>
      </c>
      <c r="L56" s="256" t="s">
        <v>2086</v>
      </c>
      <c r="M56" s="252"/>
      <c r="N56" s="252"/>
      <c r="O56" s="252"/>
    </row>
    <row r="57" spans="1:15" hidden="1">
      <c r="A57" s="251">
        <v>45672</v>
      </c>
      <c r="B57" s="252" t="s">
        <v>259</v>
      </c>
      <c r="C57" s="258" t="s">
        <v>176</v>
      </c>
      <c r="D57" s="252" t="s">
        <v>2088</v>
      </c>
      <c r="E57" s="254">
        <v>19600</v>
      </c>
      <c r="F57" s="254">
        <v>34.372999658023723</v>
      </c>
      <c r="G57" s="255">
        <v>570.21500000000003</v>
      </c>
      <c r="H57" s="256" t="s">
        <v>196</v>
      </c>
      <c r="I57" s="256" t="s">
        <v>260</v>
      </c>
      <c r="J57" s="256" t="s">
        <v>97</v>
      </c>
      <c r="K57" s="257" t="s">
        <v>1902</v>
      </c>
      <c r="L57" s="256" t="s">
        <v>2086</v>
      </c>
      <c r="M57" s="252"/>
      <c r="N57" s="252"/>
      <c r="O57" s="252"/>
    </row>
    <row r="58" spans="1:15" hidden="1">
      <c r="A58" s="251">
        <v>45672</v>
      </c>
      <c r="B58" s="252" t="s">
        <v>261</v>
      </c>
      <c r="C58" s="258" t="s">
        <v>176</v>
      </c>
      <c r="D58" s="252" t="s">
        <v>2088</v>
      </c>
      <c r="E58" s="254">
        <v>9700</v>
      </c>
      <c r="F58" s="254">
        <v>17.011127381777047</v>
      </c>
      <c r="G58" s="255">
        <v>570.21500000000003</v>
      </c>
      <c r="H58" s="256" t="s">
        <v>212</v>
      </c>
      <c r="I58" s="256" t="s">
        <v>262</v>
      </c>
      <c r="J58" s="256" t="s">
        <v>97</v>
      </c>
      <c r="K58" s="257" t="s">
        <v>1902</v>
      </c>
      <c r="L58" s="256" t="s">
        <v>2086</v>
      </c>
      <c r="M58" s="252"/>
      <c r="N58" s="252"/>
      <c r="O58" s="252"/>
    </row>
    <row r="59" spans="1:15" hidden="1">
      <c r="A59" s="251">
        <v>45673</v>
      </c>
      <c r="B59" s="252" t="s">
        <v>263</v>
      </c>
      <c r="C59" s="252" t="s">
        <v>264</v>
      </c>
      <c r="D59" s="252" t="s">
        <v>2088</v>
      </c>
      <c r="E59" s="254">
        <v>160000</v>
      </c>
      <c r="F59" s="254">
        <v>280.59591557570388</v>
      </c>
      <c r="G59" s="255">
        <v>570.21500000000003</v>
      </c>
      <c r="H59" s="256" t="s">
        <v>199</v>
      </c>
      <c r="I59" s="256" t="s">
        <v>265</v>
      </c>
      <c r="J59" s="256" t="s">
        <v>97</v>
      </c>
      <c r="K59" s="257" t="s">
        <v>1902</v>
      </c>
      <c r="L59" s="256" t="s">
        <v>2086</v>
      </c>
      <c r="M59" s="252"/>
      <c r="N59" s="252"/>
      <c r="O59" s="252"/>
    </row>
    <row r="60" spans="1:15" hidden="1">
      <c r="A60" s="251">
        <v>45673</v>
      </c>
      <c r="B60" s="252" t="s">
        <v>266</v>
      </c>
      <c r="C60" s="252" t="s">
        <v>264</v>
      </c>
      <c r="D60" s="252" t="s">
        <v>2088</v>
      </c>
      <c r="E60" s="254">
        <v>20000</v>
      </c>
      <c r="F60" s="254">
        <v>35.074489446962986</v>
      </c>
      <c r="G60" s="255">
        <v>570.21500000000003</v>
      </c>
      <c r="H60" s="256" t="s">
        <v>199</v>
      </c>
      <c r="I60" s="256" t="s">
        <v>267</v>
      </c>
      <c r="J60" s="256" t="s">
        <v>97</v>
      </c>
      <c r="K60" s="257" t="s">
        <v>1902</v>
      </c>
      <c r="L60" s="256" t="s">
        <v>2086</v>
      </c>
      <c r="M60" s="252"/>
      <c r="N60" s="252"/>
      <c r="O60" s="252"/>
    </row>
    <row r="61" spans="1:15" hidden="1">
      <c r="A61" s="251">
        <v>45673</v>
      </c>
      <c r="B61" s="252" t="s">
        <v>268</v>
      </c>
      <c r="C61" s="259" t="s">
        <v>2087</v>
      </c>
      <c r="D61" s="252" t="s">
        <v>117</v>
      </c>
      <c r="E61" s="254">
        <v>6055</v>
      </c>
      <c r="F61" s="254">
        <v>10.618801680068044</v>
      </c>
      <c r="G61" s="255">
        <v>570.21500000000003</v>
      </c>
      <c r="H61" s="256" t="s">
        <v>156</v>
      </c>
      <c r="I61" s="256" t="s">
        <v>269</v>
      </c>
      <c r="J61" s="256" t="s">
        <v>97</v>
      </c>
      <c r="K61" s="257" t="s">
        <v>1902</v>
      </c>
      <c r="L61" s="256" t="s">
        <v>2086</v>
      </c>
      <c r="M61" s="252"/>
      <c r="N61" s="252"/>
      <c r="O61" s="252"/>
    </row>
    <row r="62" spans="1:15" hidden="1">
      <c r="A62" s="251">
        <v>45673</v>
      </c>
      <c r="B62" s="252" t="s">
        <v>270</v>
      </c>
      <c r="C62" s="258" t="s">
        <v>173</v>
      </c>
      <c r="D62" s="253" t="s">
        <v>116</v>
      </c>
      <c r="E62" s="254">
        <v>7000</v>
      </c>
      <c r="F62" s="254">
        <v>12.276071306437045</v>
      </c>
      <c r="G62" s="255">
        <v>570.21500000000003</v>
      </c>
      <c r="H62" s="256" t="s">
        <v>189</v>
      </c>
      <c r="I62" s="256" t="s">
        <v>271</v>
      </c>
      <c r="J62" s="256" t="s">
        <v>97</v>
      </c>
      <c r="K62" s="257" t="s">
        <v>1902</v>
      </c>
      <c r="L62" s="256" t="s">
        <v>2086</v>
      </c>
      <c r="M62" s="252"/>
      <c r="N62" s="252"/>
      <c r="O62" s="252"/>
    </row>
    <row r="63" spans="1:15" hidden="1">
      <c r="A63" s="251">
        <v>45673</v>
      </c>
      <c r="B63" s="252" t="s">
        <v>272</v>
      </c>
      <c r="C63" s="258" t="s">
        <v>176</v>
      </c>
      <c r="D63" s="253" t="s">
        <v>116</v>
      </c>
      <c r="E63" s="254">
        <v>20000</v>
      </c>
      <c r="F63" s="254">
        <v>35.074489446962986</v>
      </c>
      <c r="G63" s="255">
        <v>570.21500000000003</v>
      </c>
      <c r="H63" s="256" t="s">
        <v>192</v>
      </c>
      <c r="I63" s="256" t="s">
        <v>273</v>
      </c>
      <c r="J63" s="256" t="s">
        <v>97</v>
      </c>
      <c r="K63" s="257" t="s">
        <v>1902</v>
      </c>
      <c r="L63" s="256" t="s">
        <v>2086</v>
      </c>
      <c r="M63" s="252"/>
      <c r="N63" s="252"/>
      <c r="O63" s="252"/>
    </row>
    <row r="64" spans="1:15" hidden="1">
      <c r="A64" s="251">
        <v>45673</v>
      </c>
      <c r="B64" s="252" t="s">
        <v>274</v>
      </c>
      <c r="C64" s="258" t="s">
        <v>173</v>
      </c>
      <c r="D64" s="252" t="s">
        <v>119</v>
      </c>
      <c r="E64" s="254">
        <v>7000</v>
      </c>
      <c r="F64" s="254">
        <v>12.276071306437045</v>
      </c>
      <c r="G64" s="255">
        <v>570.21500000000003</v>
      </c>
      <c r="H64" s="256" t="s">
        <v>212</v>
      </c>
      <c r="I64" s="256" t="s">
        <v>275</v>
      </c>
      <c r="J64" s="256" t="s">
        <v>97</v>
      </c>
      <c r="K64" s="257" t="s">
        <v>1902</v>
      </c>
      <c r="L64" s="256" t="s">
        <v>2086</v>
      </c>
      <c r="M64" s="252"/>
      <c r="N64" s="252"/>
      <c r="O64" s="252"/>
    </row>
    <row r="65" spans="1:15" hidden="1">
      <c r="A65" s="251">
        <v>45674</v>
      </c>
      <c r="B65" s="252" t="s">
        <v>276</v>
      </c>
      <c r="C65" s="259" t="s">
        <v>2087</v>
      </c>
      <c r="D65" s="252" t="s">
        <v>117</v>
      </c>
      <c r="E65" s="254">
        <v>6720</v>
      </c>
      <c r="F65" s="254">
        <v>11.785028454179564</v>
      </c>
      <c r="G65" s="255">
        <v>570.21500000000003</v>
      </c>
      <c r="H65" s="256" t="s">
        <v>156</v>
      </c>
      <c r="I65" s="256" t="s">
        <v>277</v>
      </c>
      <c r="J65" s="256" t="s">
        <v>97</v>
      </c>
      <c r="K65" s="257" t="s">
        <v>1902</v>
      </c>
      <c r="L65" s="256" t="s">
        <v>2086</v>
      </c>
      <c r="M65" s="252"/>
      <c r="N65" s="252"/>
      <c r="O65" s="252"/>
    </row>
    <row r="66" spans="1:15" hidden="1">
      <c r="A66" s="251">
        <v>45674</v>
      </c>
      <c r="B66" s="252" t="s">
        <v>278</v>
      </c>
      <c r="C66" s="252" t="s">
        <v>255</v>
      </c>
      <c r="D66" s="253" t="s">
        <v>116</v>
      </c>
      <c r="E66" s="254">
        <v>176000</v>
      </c>
      <c r="F66" s="254">
        <v>308.65550713327428</v>
      </c>
      <c r="G66" s="255">
        <v>570.21500000000003</v>
      </c>
      <c r="H66" s="256" t="s">
        <v>156</v>
      </c>
      <c r="I66" s="256" t="s">
        <v>279</v>
      </c>
      <c r="J66" s="256" t="s">
        <v>97</v>
      </c>
      <c r="K66" s="257" t="s">
        <v>1902</v>
      </c>
      <c r="L66" s="256" t="s">
        <v>2086</v>
      </c>
      <c r="M66" s="252"/>
      <c r="N66" s="252"/>
      <c r="O66" s="252"/>
    </row>
    <row r="67" spans="1:15" hidden="1">
      <c r="A67" s="251">
        <v>45674</v>
      </c>
      <c r="B67" s="252" t="s">
        <v>3758</v>
      </c>
      <c r="C67" s="258" t="s">
        <v>176</v>
      </c>
      <c r="D67" s="253" t="s">
        <v>442</v>
      </c>
      <c r="E67" s="254">
        <v>100000</v>
      </c>
      <c r="F67" s="254">
        <v>175.37244723481493</v>
      </c>
      <c r="G67" s="255">
        <v>570.21500000000003</v>
      </c>
      <c r="H67" s="256" t="s">
        <v>183</v>
      </c>
      <c r="I67" s="256" t="s">
        <v>280</v>
      </c>
      <c r="J67" s="256" t="s">
        <v>97</v>
      </c>
      <c r="K67" s="257" t="s">
        <v>1902</v>
      </c>
      <c r="L67" s="256" t="s">
        <v>2086</v>
      </c>
      <c r="M67" s="252"/>
      <c r="N67" s="252"/>
      <c r="O67" s="252"/>
    </row>
    <row r="68" spans="1:15" hidden="1">
      <c r="A68" s="251">
        <v>45674</v>
      </c>
      <c r="B68" s="252" t="s">
        <v>3758</v>
      </c>
      <c r="C68" s="258" t="s">
        <v>176</v>
      </c>
      <c r="D68" s="253" t="s">
        <v>442</v>
      </c>
      <c r="E68" s="254">
        <v>100000</v>
      </c>
      <c r="F68" s="254">
        <v>175.37244723481493</v>
      </c>
      <c r="G68" s="255">
        <v>570.21500000000003</v>
      </c>
      <c r="H68" s="256" t="s">
        <v>183</v>
      </c>
      <c r="I68" s="256" t="s">
        <v>281</v>
      </c>
      <c r="J68" s="256" t="s">
        <v>97</v>
      </c>
      <c r="K68" s="257" t="s">
        <v>1902</v>
      </c>
      <c r="L68" s="256" t="s">
        <v>2086</v>
      </c>
      <c r="M68" s="252"/>
      <c r="N68" s="252"/>
      <c r="O68" s="252"/>
    </row>
    <row r="69" spans="1:15" hidden="1">
      <c r="A69" s="251">
        <v>45674</v>
      </c>
      <c r="B69" s="252" t="s">
        <v>3754</v>
      </c>
      <c r="C69" s="258" t="s">
        <v>173</v>
      </c>
      <c r="D69" s="253" t="s">
        <v>442</v>
      </c>
      <c r="E69" s="254">
        <v>7000</v>
      </c>
      <c r="F69" s="254">
        <v>12.276071306437045</v>
      </c>
      <c r="G69" s="255">
        <v>570.21500000000003</v>
      </c>
      <c r="H69" s="256" t="s">
        <v>183</v>
      </c>
      <c r="I69" s="256" t="s">
        <v>282</v>
      </c>
      <c r="J69" s="256" t="s">
        <v>97</v>
      </c>
      <c r="K69" s="257" t="s">
        <v>1902</v>
      </c>
      <c r="L69" s="256" t="s">
        <v>2086</v>
      </c>
      <c r="M69" s="252"/>
      <c r="N69" s="252"/>
      <c r="O69" s="252"/>
    </row>
    <row r="70" spans="1:15" hidden="1">
      <c r="A70" s="251">
        <v>45674</v>
      </c>
      <c r="B70" s="252" t="s">
        <v>3756</v>
      </c>
      <c r="C70" s="258" t="s">
        <v>176</v>
      </c>
      <c r="D70" s="253" t="s">
        <v>442</v>
      </c>
      <c r="E70" s="254">
        <v>30000</v>
      </c>
      <c r="F70" s="254">
        <v>52.611734170444478</v>
      </c>
      <c r="G70" s="255">
        <v>570.21500000000003</v>
      </c>
      <c r="H70" s="256" t="s">
        <v>183</v>
      </c>
      <c r="I70" s="256" t="s">
        <v>283</v>
      </c>
      <c r="J70" s="256" t="s">
        <v>97</v>
      </c>
      <c r="K70" s="257" t="s">
        <v>1902</v>
      </c>
      <c r="L70" s="256" t="s">
        <v>2086</v>
      </c>
      <c r="M70" s="252"/>
      <c r="N70" s="252"/>
      <c r="O70" s="252"/>
    </row>
    <row r="71" spans="1:15" hidden="1">
      <c r="A71" s="251">
        <v>45674</v>
      </c>
      <c r="B71" s="252" t="s">
        <v>3867</v>
      </c>
      <c r="C71" s="258" t="s">
        <v>176</v>
      </c>
      <c r="D71" s="253" t="s">
        <v>442</v>
      </c>
      <c r="E71" s="254">
        <v>30000</v>
      </c>
      <c r="F71" s="254">
        <v>52.611734170444478</v>
      </c>
      <c r="G71" s="255">
        <v>570.21500000000003</v>
      </c>
      <c r="H71" s="256" t="s">
        <v>174</v>
      </c>
      <c r="I71" s="256" t="s">
        <v>284</v>
      </c>
      <c r="J71" s="256" t="s">
        <v>97</v>
      </c>
      <c r="K71" s="257" t="s">
        <v>1902</v>
      </c>
      <c r="L71" s="256" t="s">
        <v>2086</v>
      </c>
      <c r="M71" s="252"/>
      <c r="N71" s="252"/>
      <c r="O71" s="252"/>
    </row>
    <row r="72" spans="1:15" hidden="1">
      <c r="A72" s="251">
        <v>45674</v>
      </c>
      <c r="B72" s="252" t="s">
        <v>3868</v>
      </c>
      <c r="C72" s="258" t="s">
        <v>173</v>
      </c>
      <c r="D72" s="253" t="s">
        <v>442</v>
      </c>
      <c r="E72" s="254">
        <v>7000</v>
      </c>
      <c r="F72" s="254">
        <v>12.276071306437045</v>
      </c>
      <c r="G72" s="255">
        <v>570.21500000000003</v>
      </c>
      <c r="H72" s="256" t="s">
        <v>174</v>
      </c>
      <c r="I72" s="256" t="s">
        <v>285</v>
      </c>
      <c r="J72" s="256" t="s">
        <v>97</v>
      </c>
      <c r="K72" s="257" t="s">
        <v>1902</v>
      </c>
      <c r="L72" s="256" t="s">
        <v>2086</v>
      </c>
      <c r="M72" s="252"/>
      <c r="N72" s="252"/>
      <c r="O72" s="252"/>
    </row>
    <row r="73" spans="1:15" hidden="1">
      <c r="A73" s="251">
        <v>45674</v>
      </c>
      <c r="B73" s="252" t="s">
        <v>286</v>
      </c>
      <c r="C73" s="258" t="s">
        <v>176</v>
      </c>
      <c r="D73" s="253" t="s">
        <v>116</v>
      </c>
      <c r="E73" s="254">
        <v>30000</v>
      </c>
      <c r="F73" s="254">
        <v>52.611734170444478</v>
      </c>
      <c r="G73" s="255">
        <v>570.21500000000003</v>
      </c>
      <c r="H73" s="256" t="s">
        <v>189</v>
      </c>
      <c r="I73" s="256" t="s">
        <v>287</v>
      </c>
      <c r="J73" s="256" t="s">
        <v>97</v>
      </c>
      <c r="K73" s="257" t="s">
        <v>1902</v>
      </c>
      <c r="L73" s="256" t="s">
        <v>2086</v>
      </c>
      <c r="M73" s="252"/>
      <c r="N73" s="252"/>
      <c r="O73" s="252"/>
    </row>
    <row r="74" spans="1:15" hidden="1">
      <c r="A74" s="251">
        <v>45674</v>
      </c>
      <c r="B74" s="252" t="s">
        <v>288</v>
      </c>
      <c r="C74" s="252" t="s">
        <v>312</v>
      </c>
      <c r="D74" s="253" t="s">
        <v>116</v>
      </c>
      <c r="E74" s="254">
        <v>12000</v>
      </c>
      <c r="F74" s="254">
        <v>21.044693668177793</v>
      </c>
      <c r="G74" s="255">
        <v>570.21500000000003</v>
      </c>
      <c r="H74" s="256" t="s">
        <v>192</v>
      </c>
      <c r="I74" s="256" t="s">
        <v>289</v>
      </c>
      <c r="J74" s="256" t="s">
        <v>97</v>
      </c>
      <c r="K74" s="257" t="s">
        <v>1902</v>
      </c>
      <c r="L74" s="256" t="s">
        <v>2086</v>
      </c>
      <c r="M74" s="252"/>
      <c r="N74" s="252"/>
      <c r="O74" s="252"/>
    </row>
    <row r="75" spans="1:15" hidden="1">
      <c r="A75" s="251">
        <v>45674</v>
      </c>
      <c r="B75" s="252" t="s">
        <v>290</v>
      </c>
      <c r="C75" s="258" t="s">
        <v>173</v>
      </c>
      <c r="D75" s="253" t="s">
        <v>116</v>
      </c>
      <c r="E75" s="254">
        <v>8000</v>
      </c>
      <c r="F75" s="254">
        <v>14.029795778785195</v>
      </c>
      <c r="G75" s="255">
        <v>570.21500000000003</v>
      </c>
      <c r="H75" s="256" t="s">
        <v>192</v>
      </c>
      <c r="I75" s="256" t="s">
        <v>291</v>
      </c>
      <c r="J75" s="256" t="s">
        <v>97</v>
      </c>
      <c r="K75" s="257" t="s">
        <v>1902</v>
      </c>
      <c r="L75" s="256" t="s">
        <v>2086</v>
      </c>
      <c r="M75" s="252"/>
      <c r="N75" s="252"/>
      <c r="O75" s="252"/>
    </row>
    <row r="76" spans="1:15" hidden="1">
      <c r="A76" s="251">
        <v>45674</v>
      </c>
      <c r="B76" s="252" t="s">
        <v>293</v>
      </c>
      <c r="C76" s="258" t="s">
        <v>176</v>
      </c>
      <c r="D76" s="252" t="s">
        <v>119</v>
      </c>
      <c r="E76" s="254">
        <v>105000</v>
      </c>
      <c r="F76" s="254">
        <v>184.14106959655567</v>
      </c>
      <c r="G76" s="255">
        <v>570.21500000000003</v>
      </c>
      <c r="H76" s="256" t="s">
        <v>212</v>
      </c>
      <c r="I76" s="256" t="s">
        <v>294</v>
      </c>
      <c r="J76" s="256" t="s">
        <v>97</v>
      </c>
      <c r="K76" s="257" t="s">
        <v>1902</v>
      </c>
      <c r="L76" s="256" t="s">
        <v>2086</v>
      </c>
      <c r="M76" s="252"/>
      <c r="N76" s="252"/>
      <c r="O76" s="252"/>
    </row>
    <row r="77" spans="1:15" hidden="1">
      <c r="A77" s="281">
        <v>45674</v>
      </c>
      <c r="B77" s="252" t="s">
        <v>102</v>
      </c>
      <c r="C77" s="252" t="s">
        <v>124</v>
      </c>
      <c r="D77" s="252"/>
      <c r="E77" s="282"/>
      <c r="F77" s="283"/>
      <c r="G77" s="284">
        <f>+M77/N77</f>
        <v>596.1932333333333</v>
      </c>
      <c r="H77" s="252" t="s">
        <v>147</v>
      </c>
      <c r="I77" s="252" t="s">
        <v>130</v>
      </c>
      <c r="J77" s="252" t="s">
        <v>97</v>
      </c>
      <c r="K77" s="252" t="s">
        <v>1902</v>
      </c>
      <c r="L77" s="252" t="s">
        <v>154</v>
      </c>
      <c r="M77" s="285">
        <v>17885797</v>
      </c>
      <c r="N77" s="252">
        <v>30000</v>
      </c>
      <c r="O77" s="252"/>
    </row>
    <row r="78" spans="1:15" hidden="1">
      <c r="A78" s="251">
        <v>45675</v>
      </c>
      <c r="B78" s="252" t="s">
        <v>295</v>
      </c>
      <c r="C78" s="258" t="s">
        <v>176</v>
      </c>
      <c r="D78" s="253" t="s">
        <v>116</v>
      </c>
      <c r="E78" s="254">
        <v>30000</v>
      </c>
      <c r="F78" s="254">
        <v>50.319275804982617</v>
      </c>
      <c r="G78" s="255">
        <v>596.19299999999998</v>
      </c>
      <c r="H78" s="256" t="s">
        <v>192</v>
      </c>
      <c r="I78" s="256" t="s">
        <v>296</v>
      </c>
      <c r="J78" s="256" t="s">
        <v>97</v>
      </c>
      <c r="K78" s="257" t="s">
        <v>1902</v>
      </c>
      <c r="L78" s="256" t="s">
        <v>2086</v>
      </c>
      <c r="M78" s="252"/>
      <c r="N78" s="252"/>
      <c r="O78" s="252"/>
    </row>
    <row r="79" spans="1:15" hidden="1">
      <c r="A79" s="251">
        <v>45676</v>
      </c>
      <c r="B79" s="252" t="s">
        <v>477</v>
      </c>
      <c r="C79" s="258" t="s">
        <v>173</v>
      </c>
      <c r="D79" s="253" t="s">
        <v>116</v>
      </c>
      <c r="E79" s="254">
        <v>7000</v>
      </c>
      <c r="F79" s="254">
        <v>12.276071306437045</v>
      </c>
      <c r="G79" s="255">
        <v>570.21500000000003</v>
      </c>
      <c r="H79" s="256" t="s">
        <v>196</v>
      </c>
      <c r="I79" s="256" t="s">
        <v>292</v>
      </c>
      <c r="J79" s="256" t="s">
        <v>97</v>
      </c>
      <c r="K79" s="257" t="s">
        <v>1902</v>
      </c>
      <c r="L79" s="256" t="s">
        <v>2086</v>
      </c>
      <c r="M79" s="252"/>
      <c r="N79" s="252"/>
      <c r="O79" s="252"/>
    </row>
    <row r="80" spans="1:15" hidden="1">
      <c r="A80" s="251">
        <v>45676</v>
      </c>
      <c r="B80" s="252" t="s">
        <v>297</v>
      </c>
      <c r="C80" s="258" t="s">
        <v>176</v>
      </c>
      <c r="D80" s="253" t="s">
        <v>116</v>
      </c>
      <c r="E80" s="254">
        <v>150000</v>
      </c>
      <c r="F80" s="254">
        <v>251.59637902491309</v>
      </c>
      <c r="G80" s="255">
        <v>596.19299999999998</v>
      </c>
      <c r="H80" s="256" t="s">
        <v>196</v>
      </c>
      <c r="I80" s="256" t="s">
        <v>298</v>
      </c>
      <c r="J80" s="256" t="s">
        <v>97</v>
      </c>
      <c r="K80" s="257" t="s">
        <v>1902</v>
      </c>
      <c r="L80" s="256" t="s">
        <v>2086</v>
      </c>
      <c r="M80" s="252"/>
      <c r="N80" s="252"/>
      <c r="O80" s="252"/>
    </row>
    <row r="81" spans="1:15" hidden="1">
      <c r="A81" s="251">
        <v>45676</v>
      </c>
      <c r="B81" s="252" t="s">
        <v>299</v>
      </c>
      <c r="C81" s="258" t="s">
        <v>173</v>
      </c>
      <c r="D81" s="253" t="s">
        <v>116</v>
      </c>
      <c r="E81" s="254">
        <v>12500</v>
      </c>
      <c r="F81" s="254">
        <v>20.966364918742755</v>
      </c>
      <c r="G81" s="255">
        <v>596.19299999999998</v>
      </c>
      <c r="H81" s="256" t="s">
        <v>196</v>
      </c>
      <c r="I81" s="256" t="s">
        <v>300</v>
      </c>
      <c r="J81" s="256" t="s">
        <v>97</v>
      </c>
      <c r="K81" s="257" t="s">
        <v>1902</v>
      </c>
      <c r="L81" s="256" t="s">
        <v>2086</v>
      </c>
      <c r="M81" s="252"/>
      <c r="N81" s="252"/>
      <c r="O81" s="252"/>
    </row>
    <row r="82" spans="1:15" hidden="1">
      <c r="A82" s="251">
        <v>45677</v>
      </c>
      <c r="B82" s="252" t="s">
        <v>478</v>
      </c>
      <c r="C82" s="258" t="s">
        <v>1164</v>
      </c>
      <c r="D82" s="252" t="s">
        <v>117</v>
      </c>
      <c r="E82" s="254">
        <v>195000</v>
      </c>
      <c r="F82" s="254">
        <v>327.07529273238703</v>
      </c>
      <c r="G82" s="255">
        <v>596.19299999999998</v>
      </c>
      <c r="H82" s="256" t="s">
        <v>156</v>
      </c>
      <c r="I82" s="256" t="s">
        <v>301</v>
      </c>
      <c r="J82" s="256" t="s">
        <v>97</v>
      </c>
      <c r="K82" s="257" t="s">
        <v>1902</v>
      </c>
      <c r="L82" s="256" t="s">
        <v>2086</v>
      </c>
      <c r="M82" s="252"/>
      <c r="N82" s="252"/>
      <c r="O82" s="252"/>
    </row>
    <row r="83" spans="1:15" hidden="1">
      <c r="A83" s="251">
        <v>45677</v>
      </c>
      <c r="B83" s="252" t="s">
        <v>302</v>
      </c>
      <c r="C83" s="258" t="s">
        <v>303</v>
      </c>
      <c r="D83" s="252" t="s">
        <v>117</v>
      </c>
      <c r="E83" s="254">
        <v>20000</v>
      </c>
      <c r="F83" s="254">
        <v>33.546183869988411</v>
      </c>
      <c r="G83" s="255">
        <v>596.19299999999998</v>
      </c>
      <c r="H83" s="256" t="s">
        <v>156</v>
      </c>
      <c r="I83" s="256" t="s">
        <v>304</v>
      </c>
      <c r="J83" s="256" t="s">
        <v>97</v>
      </c>
      <c r="K83" s="257" t="s">
        <v>1902</v>
      </c>
      <c r="L83" s="256" t="s">
        <v>2086</v>
      </c>
      <c r="M83" s="252"/>
      <c r="N83" s="252"/>
      <c r="O83" s="252"/>
    </row>
    <row r="84" spans="1:15" hidden="1">
      <c r="A84" s="251">
        <v>45678</v>
      </c>
      <c r="B84" s="252" t="s">
        <v>3869</v>
      </c>
      <c r="C84" s="258" t="s">
        <v>173</v>
      </c>
      <c r="D84" s="253" t="s">
        <v>442</v>
      </c>
      <c r="E84" s="254">
        <v>7000</v>
      </c>
      <c r="F84" s="254">
        <v>11.741164354495943</v>
      </c>
      <c r="G84" s="255">
        <v>596.19299999999998</v>
      </c>
      <c r="H84" s="256" t="s">
        <v>174</v>
      </c>
      <c r="I84" s="256" t="s">
        <v>305</v>
      </c>
      <c r="J84" s="256" t="s">
        <v>97</v>
      </c>
      <c r="K84" s="257" t="s">
        <v>1902</v>
      </c>
      <c r="L84" s="256" t="s">
        <v>2086</v>
      </c>
      <c r="M84" s="252"/>
      <c r="N84" s="252"/>
      <c r="O84" s="252"/>
    </row>
    <row r="85" spans="1:15" hidden="1">
      <c r="A85" s="251">
        <v>45678</v>
      </c>
      <c r="B85" s="252" t="s">
        <v>306</v>
      </c>
      <c r="C85" s="252" t="s">
        <v>307</v>
      </c>
      <c r="D85" s="253" t="s">
        <v>442</v>
      </c>
      <c r="E85" s="254">
        <v>10000</v>
      </c>
      <c r="F85" s="254">
        <v>17.537244723481493</v>
      </c>
      <c r="G85" s="255">
        <v>570.21500000000003</v>
      </c>
      <c r="H85" s="256" t="s">
        <v>174</v>
      </c>
      <c r="I85" s="256" t="s">
        <v>308</v>
      </c>
      <c r="J85" s="256" t="s">
        <v>97</v>
      </c>
      <c r="K85" s="257" t="s">
        <v>1902</v>
      </c>
      <c r="L85" s="256" t="s">
        <v>2086</v>
      </c>
      <c r="M85" s="252"/>
      <c r="N85" s="252"/>
      <c r="O85" s="252"/>
    </row>
    <row r="86" spans="1:15" hidden="1">
      <c r="A86" s="251">
        <v>45678</v>
      </c>
      <c r="B86" s="252" t="s">
        <v>309</v>
      </c>
      <c r="C86" s="258" t="s">
        <v>1164</v>
      </c>
      <c r="D86" s="252" t="s">
        <v>2088</v>
      </c>
      <c r="E86" s="254">
        <v>24675</v>
      </c>
      <c r="F86" s="254">
        <v>43.273151355190585</v>
      </c>
      <c r="G86" s="255">
        <v>570.21500000000003</v>
      </c>
      <c r="H86" s="256" t="s">
        <v>186</v>
      </c>
      <c r="I86" s="256" t="s">
        <v>310</v>
      </c>
      <c r="J86" s="256" t="s">
        <v>97</v>
      </c>
      <c r="K86" s="257" t="s">
        <v>1902</v>
      </c>
      <c r="L86" s="256" t="s">
        <v>2086</v>
      </c>
      <c r="M86" s="252"/>
      <c r="N86" s="252"/>
      <c r="O86" s="252"/>
    </row>
    <row r="87" spans="1:15" hidden="1">
      <c r="A87" s="251">
        <v>45678</v>
      </c>
      <c r="B87" s="252" t="s">
        <v>311</v>
      </c>
      <c r="C87" s="252" t="s">
        <v>312</v>
      </c>
      <c r="D87" s="253" t="s">
        <v>116</v>
      </c>
      <c r="E87" s="254">
        <v>26000</v>
      </c>
      <c r="F87" s="254">
        <v>43.610039030984936</v>
      </c>
      <c r="G87" s="255">
        <v>596.19299999999998</v>
      </c>
      <c r="H87" s="256" t="s">
        <v>186</v>
      </c>
      <c r="I87" s="256" t="s">
        <v>313</v>
      </c>
      <c r="J87" s="256" t="s">
        <v>97</v>
      </c>
      <c r="K87" s="257" t="s">
        <v>1902</v>
      </c>
      <c r="L87" s="256" t="s">
        <v>2086</v>
      </c>
      <c r="M87" s="252"/>
      <c r="N87" s="252"/>
      <c r="O87" s="252"/>
    </row>
    <row r="88" spans="1:15" hidden="1">
      <c r="A88" s="251">
        <v>45678</v>
      </c>
      <c r="B88" s="252" t="s">
        <v>314</v>
      </c>
      <c r="C88" s="258" t="s">
        <v>2089</v>
      </c>
      <c r="D88" s="252" t="s">
        <v>119</v>
      </c>
      <c r="E88" s="254">
        <v>154000</v>
      </c>
      <c r="F88" s="254">
        <v>258.30561579891076</v>
      </c>
      <c r="G88" s="255">
        <v>596.19299999999998</v>
      </c>
      <c r="H88" s="256" t="s">
        <v>212</v>
      </c>
      <c r="I88" s="256" t="s">
        <v>315</v>
      </c>
      <c r="J88" s="256" t="s">
        <v>97</v>
      </c>
      <c r="K88" s="257" t="s">
        <v>1902</v>
      </c>
      <c r="L88" s="256" t="s">
        <v>2086</v>
      </c>
      <c r="M88" s="252"/>
      <c r="N88" s="252"/>
      <c r="O88" s="252"/>
    </row>
    <row r="89" spans="1:15" hidden="1">
      <c r="A89" s="251">
        <v>45679</v>
      </c>
      <c r="B89" s="252" t="s">
        <v>3688</v>
      </c>
      <c r="C89" s="258" t="s">
        <v>176</v>
      </c>
      <c r="D89" s="253" t="s">
        <v>442</v>
      </c>
      <c r="E89" s="254">
        <v>80000</v>
      </c>
      <c r="F89" s="254">
        <v>134.18473547995364</v>
      </c>
      <c r="G89" s="255">
        <v>596.19299999999998</v>
      </c>
      <c r="H89" s="256" t="s">
        <v>316</v>
      </c>
      <c r="I89" s="256" t="s">
        <v>317</v>
      </c>
      <c r="J89" s="256" t="s">
        <v>97</v>
      </c>
      <c r="K89" s="257" t="s">
        <v>1902</v>
      </c>
      <c r="L89" s="256" t="s">
        <v>2086</v>
      </c>
      <c r="M89" s="252"/>
      <c r="N89" s="252"/>
      <c r="O89" s="252"/>
    </row>
    <row r="90" spans="1:15" hidden="1">
      <c r="A90" s="251">
        <v>45679</v>
      </c>
      <c r="B90" s="252" t="s">
        <v>3689</v>
      </c>
      <c r="C90" s="258" t="s">
        <v>173</v>
      </c>
      <c r="D90" s="253" t="s">
        <v>442</v>
      </c>
      <c r="E90" s="254">
        <v>7000</v>
      </c>
      <c r="F90" s="254">
        <v>11.741164354495943</v>
      </c>
      <c r="G90" s="255">
        <v>596.19299999999998</v>
      </c>
      <c r="H90" s="256" t="s">
        <v>316</v>
      </c>
      <c r="I90" s="256" t="s">
        <v>318</v>
      </c>
      <c r="J90" s="256" t="s">
        <v>97</v>
      </c>
      <c r="K90" s="257" t="s">
        <v>1902</v>
      </c>
      <c r="L90" s="256" t="s">
        <v>2086</v>
      </c>
      <c r="M90" s="252"/>
      <c r="N90" s="252"/>
      <c r="O90" s="252"/>
    </row>
    <row r="91" spans="1:15" hidden="1">
      <c r="A91" s="251">
        <v>45679</v>
      </c>
      <c r="B91" s="252" t="s">
        <v>3759</v>
      </c>
      <c r="C91" s="258" t="s">
        <v>173</v>
      </c>
      <c r="D91" s="253" t="s">
        <v>442</v>
      </c>
      <c r="E91" s="254">
        <v>7000</v>
      </c>
      <c r="F91" s="254">
        <v>11.741164354495943</v>
      </c>
      <c r="G91" s="255">
        <v>596.19299999999998</v>
      </c>
      <c r="H91" s="256" t="s">
        <v>183</v>
      </c>
      <c r="I91" s="256" t="s">
        <v>319</v>
      </c>
      <c r="J91" s="256" t="s">
        <v>97</v>
      </c>
      <c r="K91" s="257" t="s">
        <v>1902</v>
      </c>
      <c r="L91" s="256" t="s">
        <v>2086</v>
      </c>
      <c r="M91" s="252"/>
      <c r="N91" s="252"/>
      <c r="O91" s="252"/>
    </row>
    <row r="92" spans="1:15" hidden="1">
      <c r="A92" s="251">
        <v>45679</v>
      </c>
      <c r="B92" s="252" t="s">
        <v>3760</v>
      </c>
      <c r="C92" s="258" t="s">
        <v>176</v>
      </c>
      <c r="D92" s="253" t="s">
        <v>442</v>
      </c>
      <c r="E92" s="254">
        <v>80000</v>
      </c>
      <c r="F92" s="254">
        <v>134.18473547995364</v>
      </c>
      <c r="G92" s="255">
        <v>596.19299999999998</v>
      </c>
      <c r="H92" s="256" t="s">
        <v>183</v>
      </c>
      <c r="I92" s="256" t="s">
        <v>320</v>
      </c>
      <c r="J92" s="256" t="s">
        <v>97</v>
      </c>
      <c r="K92" s="257" t="s">
        <v>1902</v>
      </c>
      <c r="L92" s="256" t="s">
        <v>2086</v>
      </c>
      <c r="M92" s="252"/>
      <c r="N92" s="252"/>
      <c r="O92" s="252"/>
    </row>
    <row r="93" spans="1:15" hidden="1">
      <c r="A93" s="251">
        <v>45679</v>
      </c>
      <c r="B93" s="252" t="s">
        <v>3865</v>
      </c>
      <c r="C93" s="258" t="s">
        <v>176</v>
      </c>
      <c r="D93" s="253" t="s">
        <v>442</v>
      </c>
      <c r="E93" s="254">
        <v>80000</v>
      </c>
      <c r="F93" s="254">
        <v>134.18473547995364</v>
      </c>
      <c r="G93" s="255">
        <v>596.19299999999998</v>
      </c>
      <c r="H93" s="256" t="s">
        <v>174</v>
      </c>
      <c r="I93" s="256" t="s">
        <v>321</v>
      </c>
      <c r="J93" s="256" t="s">
        <v>97</v>
      </c>
      <c r="K93" s="257" t="s">
        <v>1902</v>
      </c>
      <c r="L93" s="256" t="s">
        <v>2086</v>
      </c>
      <c r="M93" s="252"/>
      <c r="N93" s="252"/>
      <c r="O93" s="252"/>
    </row>
    <row r="94" spans="1:15" hidden="1">
      <c r="A94" s="251">
        <v>45679</v>
      </c>
      <c r="B94" s="252" t="s">
        <v>3646</v>
      </c>
      <c r="C94" s="258" t="s">
        <v>173</v>
      </c>
      <c r="D94" s="253" t="s">
        <v>442</v>
      </c>
      <c r="E94" s="254">
        <v>7000</v>
      </c>
      <c r="F94" s="254">
        <v>11.741164354495943</v>
      </c>
      <c r="G94" s="255">
        <v>596.19299999999998</v>
      </c>
      <c r="H94" s="256" t="s">
        <v>322</v>
      </c>
      <c r="I94" s="256" t="s">
        <v>323</v>
      </c>
      <c r="J94" s="256" t="s">
        <v>97</v>
      </c>
      <c r="K94" s="257" t="s">
        <v>1902</v>
      </c>
      <c r="L94" s="256" t="s">
        <v>2086</v>
      </c>
      <c r="M94" s="252"/>
      <c r="N94" s="252"/>
      <c r="O94" s="252"/>
    </row>
    <row r="95" spans="1:15" hidden="1">
      <c r="A95" s="251">
        <v>45679</v>
      </c>
      <c r="B95" s="252" t="s">
        <v>3687</v>
      </c>
      <c r="C95" s="258" t="s">
        <v>176</v>
      </c>
      <c r="D95" s="253" t="s">
        <v>442</v>
      </c>
      <c r="E95" s="254">
        <v>80000</v>
      </c>
      <c r="F95" s="254">
        <v>134.18473547995364</v>
      </c>
      <c r="G95" s="255">
        <v>596.19299999999998</v>
      </c>
      <c r="H95" s="256" t="s">
        <v>322</v>
      </c>
      <c r="I95" s="256" t="s">
        <v>324</v>
      </c>
      <c r="J95" s="256" t="s">
        <v>97</v>
      </c>
      <c r="K95" s="257" t="s">
        <v>1902</v>
      </c>
      <c r="L95" s="256" t="s">
        <v>2086</v>
      </c>
      <c r="M95" s="252"/>
      <c r="N95" s="252"/>
      <c r="O95" s="252"/>
    </row>
    <row r="96" spans="1:15" hidden="1">
      <c r="A96" s="251">
        <v>45679</v>
      </c>
      <c r="B96" s="252" t="s">
        <v>325</v>
      </c>
      <c r="C96" s="258" t="s">
        <v>173</v>
      </c>
      <c r="D96" s="253" t="s">
        <v>116</v>
      </c>
      <c r="E96" s="254">
        <v>14500</v>
      </c>
      <c r="F96" s="254">
        <v>24.320983305741599</v>
      </c>
      <c r="G96" s="255">
        <v>596.19299999999998</v>
      </c>
      <c r="H96" s="256" t="s">
        <v>189</v>
      </c>
      <c r="I96" s="256" t="s">
        <v>326</v>
      </c>
      <c r="J96" s="256" t="s">
        <v>97</v>
      </c>
      <c r="K96" s="257" t="s">
        <v>1902</v>
      </c>
      <c r="L96" s="256" t="s">
        <v>2086</v>
      </c>
      <c r="M96" s="252"/>
      <c r="N96" s="252"/>
      <c r="O96" s="252"/>
    </row>
    <row r="97" spans="1:15" hidden="1">
      <c r="A97" s="251">
        <v>45679</v>
      </c>
      <c r="B97" s="252" t="s">
        <v>327</v>
      </c>
      <c r="C97" s="259" t="s">
        <v>2087</v>
      </c>
      <c r="D97" s="252" t="s">
        <v>117</v>
      </c>
      <c r="E97" s="254">
        <v>3330</v>
      </c>
      <c r="F97" s="254">
        <v>5.5854396143530707</v>
      </c>
      <c r="G97" s="255">
        <v>596.19299999999998</v>
      </c>
      <c r="H97" s="256" t="s">
        <v>189</v>
      </c>
      <c r="I97" s="256" t="s">
        <v>328</v>
      </c>
      <c r="J97" s="256" t="s">
        <v>97</v>
      </c>
      <c r="K97" s="257" t="s">
        <v>1902</v>
      </c>
      <c r="L97" s="256" t="s">
        <v>2086</v>
      </c>
      <c r="M97" s="252"/>
      <c r="N97" s="252"/>
      <c r="O97" s="252"/>
    </row>
    <row r="98" spans="1:15" hidden="1">
      <c r="A98" s="251">
        <v>45679</v>
      </c>
      <c r="B98" s="252" t="s">
        <v>329</v>
      </c>
      <c r="C98" s="258" t="s">
        <v>1164</v>
      </c>
      <c r="D98" s="252" t="s">
        <v>117</v>
      </c>
      <c r="E98" s="254">
        <v>7500</v>
      </c>
      <c r="F98" s="254">
        <v>12.579818951245654</v>
      </c>
      <c r="G98" s="255">
        <v>596.19299999999998</v>
      </c>
      <c r="H98" s="256" t="s">
        <v>192</v>
      </c>
      <c r="I98" s="256" t="s">
        <v>330</v>
      </c>
      <c r="J98" s="256" t="s">
        <v>97</v>
      </c>
      <c r="K98" s="257" t="s">
        <v>1902</v>
      </c>
      <c r="L98" s="256" t="s">
        <v>2086</v>
      </c>
      <c r="M98" s="252"/>
      <c r="N98" s="252"/>
      <c r="O98" s="252"/>
    </row>
    <row r="99" spans="1:15" hidden="1">
      <c r="A99" s="251">
        <v>45680</v>
      </c>
      <c r="B99" s="252" t="s">
        <v>331</v>
      </c>
      <c r="C99" s="252" t="s">
        <v>126</v>
      </c>
      <c r="D99" s="253" t="s">
        <v>116</v>
      </c>
      <c r="E99" s="254">
        <v>21000</v>
      </c>
      <c r="F99" s="254">
        <v>35.22349306348783</v>
      </c>
      <c r="G99" s="255">
        <v>596.19299999999998</v>
      </c>
      <c r="H99" s="256" t="s">
        <v>156</v>
      </c>
      <c r="I99" s="256" t="s">
        <v>332</v>
      </c>
      <c r="J99" s="256" t="s">
        <v>97</v>
      </c>
      <c r="K99" s="257" t="s">
        <v>1902</v>
      </c>
      <c r="L99" s="256" t="s">
        <v>2086</v>
      </c>
      <c r="M99" s="252"/>
      <c r="N99" s="252"/>
      <c r="O99" s="252"/>
    </row>
    <row r="100" spans="1:15" hidden="1">
      <c r="A100" s="251">
        <v>45680</v>
      </c>
      <c r="B100" s="252" t="s">
        <v>333</v>
      </c>
      <c r="C100" s="259" t="s">
        <v>2087</v>
      </c>
      <c r="D100" s="252" t="s">
        <v>117</v>
      </c>
      <c r="E100" s="254">
        <v>21030</v>
      </c>
      <c r="F100" s="254">
        <v>35.273812339292817</v>
      </c>
      <c r="G100" s="255">
        <v>596.19299999999998</v>
      </c>
      <c r="H100" s="256" t="s">
        <v>192</v>
      </c>
      <c r="I100" s="256" t="s">
        <v>334</v>
      </c>
      <c r="J100" s="256" t="s">
        <v>97</v>
      </c>
      <c r="K100" s="257" t="s">
        <v>1902</v>
      </c>
      <c r="L100" s="256" t="s">
        <v>2086</v>
      </c>
      <c r="M100" s="252"/>
      <c r="N100" s="252"/>
      <c r="O100" s="252"/>
    </row>
    <row r="101" spans="1:15" hidden="1">
      <c r="A101" s="251">
        <v>45680</v>
      </c>
      <c r="B101" s="252" t="s">
        <v>103</v>
      </c>
      <c r="C101" s="252" t="s">
        <v>126</v>
      </c>
      <c r="D101" s="253" t="s">
        <v>118</v>
      </c>
      <c r="E101" s="254">
        <v>1311000</v>
      </c>
      <c r="F101" s="254">
        <v>2198.9523526777402</v>
      </c>
      <c r="G101" s="255">
        <v>596.19299999999998</v>
      </c>
      <c r="H101" s="256" t="s">
        <v>147</v>
      </c>
      <c r="I101" s="256" t="s">
        <v>132</v>
      </c>
      <c r="J101" s="256" t="s">
        <v>97</v>
      </c>
      <c r="K101" s="257" t="s">
        <v>1902</v>
      </c>
      <c r="L101" s="256" t="s">
        <v>2086</v>
      </c>
      <c r="M101" s="252"/>
      <c r="N101" s="252"/>
      <c r="O101" s="252"/>
    </row>
    <row r="102" spans="1:15" hidden="1">
      <c r="A102" s="251">
        <v>45680</v>
      </c>
      <c r="B102" s="252" t="s">
        <v>104</v>
      </c>
      <c r="C102" s="252" t="s">
        <v>126</v>
      </c>
      <c r="D102" s="253" t="s">
        <v>116</v>
      </c>
      <c r="E102" s="254">
        <v>200000</v>
      </c>
      <c r="F102" s="254">
        <v>335.46183869988408</v>
      </c>
      <c r="G102" s="255">
        <v>596.19299999999998</v>
      </c>
      <c r="H102" s="256" t="s">
        <v>147</v>
      </c>
      <c r="I102" s="256" t="s">
        <v>133</v>
      </c>
      <c r="J102" s="256" t="s">
        <v>97</v>
      </c>
      <c r="K102" s="257" t="s">
        <v>1902</v>
      </c>
      <c r="L102" s="256" t="s">
        <v>2086</v>
      </c>
      <c r="M102" s="252"/>
      <c r="N102" s="252"/>
      <c r="O102" s="252"/>
    </row>
    <row r="103" spans="1:15" hidden="1">
      <c r="A103" s="251">
        <v>45680</v>
      </c>
      <c r="B103" s="252" t="s">
        <v>105</v>
      </c>
      <c r="C103" s="252" t="s">
        <v>126</v>
      </c>
      <c r="D103" s="252" t="s">
        <v>117</v>
      </c>
      <c r="E103" s="254">
        <v>551482</v>
      </c>
      <c r="F103" s="254">
        <v>925.00582864944738</v>
      </c>
      <c r="G103" s="255">
        <v>596.19299999999998</v>
      </c>
      <c r="H103" s="256" t="s">
        <v>147</v>
      </c>
      <c r="I103" s="256" t="s">
        <v>134</v>
      </c>
      <c r="J103" s="256" t="s">
        <v>97</v>
      </c>
      <c r="K103" s="257" t="s">
        <v>1902</v>
      </c>
      <c r="L103" s="256" t="s">
        <v>2086</v>
      </c>
      <c r="M103" s="252"/>
      <c r="N103" s="252"/>
      <c r="O103" s="252"/>
    </row>
    <row r="104" spans="1:15" hidden="1">
      <c r="A104" s="251">
        <v>45680</v>
      </c>
      <c r="B104" s="252" t="s">
        <v>106</v>
      </c>
      <c r="C104" s="252" t="s">
        <v>126</v>
      </c>
      <c r="D104" s="253" t="s">
        <v>116</v>
      </c>
      <c r="E104" s="254">
        <v>384789</v>
      </c>
      <c r="F104" s="254">
        <v>645.41012725744849</v>
      </c>
      <c r="G104" s="255">
        <v>596.19299999999998</v>
      </c>
      <c r="H104" s="256" t="s">
        <v>147</v>
      </c>
      <c r="I104" s="256" t="s">
        <v>135</v>
      </c>
      <c r="J104" s="256" t="s">
        <v>97</v>
      </c>
      <c r="K104" s="257" t="s">
        <v>1902</v>
      </c>
      <c r="L104" s="256" t="s">
        <v>2086</v>
      </c>
      <c r="M104" s="252"/>
      <c r="N104" s="252"/>
      <c r="O104" s="252"/>
    </row>
    <row r="105" spans="1:15" hidden="1">
      <c r="A105" s="251">
        <v>45680</v>
      </c>
      <c r="B105" s="252" t="s">
        <v>107</v>
      </c>
      <c r="C105" s="252" t="s">
        <v>126</v>
      </c>
      <c r="D105" s="253" t="s">
        <v>116</v>
      </c>
      <c r="E105" s="254">
        <v>336400</v>
      </c>
      <c r="F105" s="254">
        <v>564.24681269320502</v>
      </c>
      <c r="G105" s="255">
        <v>596.19299999999998</v>
      </c>
      <c r="H105" s="256" t="s">
        <v>147</v>
      </c>
      <c r="I105" s="256" t="s">
        <v>136</v>
      </c>
      <c r="J105" s="256" t="s">
        <v>97</v>
      </c>
      <c r="K105" s="257" t="s">
        <v>1902</v>
      </c>
      <c r="L105" s="256" t="s">
        <v>2086</v>
      </c>
      <c r="M105" s="252"/>
      <c r="N105" s="252"/>
      <c r="O105" s="252"/>
    </row>
    <row r="106" spans="1:15" hidden="1">
      <c r="A106" s="251">
        <v>45680</v>
      </c>
      <c r="B106" s="252" t="s">
        <v>108</v>
      </c>
      <c r="C106" s="252" t="s">
        <v>126</v>
      </c>
      <c r="D106" s="253" t="s">
        <v>116</v>
      </c>
      <c r="E106" s="254">
        <v>200000</v>
      </c>
      <c r="F106" s="254">
        <v>335.46183869988408</v>
      </c>
      <c r="G106" s="255">
        <v>596.19299999999998</v>
      </c>
      <c r="H106" s="256" t="s">
        <v>147</v>
      </c>
      <c r="I106" s="256" t="s">
        <v>137</v>
      </c>
      <c r="J106" s="256" t="s">
        <v>97</v>
      </c>
      <c r="K106" s="257" t="s">
        <v>1902</v>
      </c>
      <c r="L106" s="256" t="s">
        <v>2086</v>
      </c>
      <c r="M106" s="252"/>
      <c r="N106" s="252"/>
      <c r="O106" s="252"/>
    </row>
    <row r="107" spans="1:15" hidden="1">
      <c r="A107" s="251">
        <v>45680</v>
      </c>
      <c r="B107" s="252" t="s">
        <v>109</v>
      </c>
      <c r="C107" s="252" t="s">
        <v>126</v>
      </c>
      <c r="D107" s="253" t="s">
        <v>116</v>
      </c>
      <c r="E107" s="254">
        <v>200000</v>
      </c>
      <c r="F107" s="254">
        <v>335.46183869988408</v>
      </c>
      <c r="G107" s="255">
        <v>596.19299999999998</v>
      </c>
      <c r="H107" s="256" t="s">
        <v>147</v>
      </c>
      <c r="I107" s="256" t="s">
        <v>138</v>
      </c>
      <c r="J107" s="256" t="s">
        <v>97</v>
      </c>
      <c r="K107" s="257" t="s">
        <v>1902</v>
      </c>
      <c r="L107" s="256" t="s">
        <v>2086</v>
      </c>
      <c r="M107" s="252"/>
      <c r="N107" s="252"/>
      <c r="O107" s="252"/>
    </row>
    <row r="108" spans="1:15" hidden="1">
      <c r="A108" s="251">
        <v>45680</v>
      </c>
      <c r="B108" s="252" t="s">
        <v>110</v>
      </c>
      <c r="C108" s="252" t="s">
        <v>126</v>
      </c>
      <c r="D108" s="252" t="s">
        <v>119</v>
      </c>
      <c r="E108" s="254">
        <v>238140</v>
      </c>
      <c r="F108" s="254">
        <v>399.43441133995202</v>
      </c>
      <c r="G108" s="255">
        <v>596.19299999999998</v>
      </c>
      <c r="H108" s="256" t="s">
        <v>147</v>
      </c>
      <c r="I108" s="256" t="s">
        <v>139</v>
      </c>
      <c r="J108" s="256" t="s">
        <v>97</v>
      </c>
      <c r="K108" s="257" t="s">
        <v>1902</v>
      </c>
      <c r="L108" s="256" t="s">
        <v>2086</v>
      </c>
      <c r="M108" s="252"/>
      <c r="N108" s="252"/>
      <c r="O108" s="252"/>
    </row>
    <row r="109" spans="1:15" hidden="1">
      <c r="A109" s="251">
        <v>45681</v>
      </c>
      <c r="B109" s="252" t="s">
        <v>335</v>
      </c>
      <c r="C109" s="258" t="s">
        <v>173</v>
      </c>
      <c r="D109" s="253" t="s">
        <v>116</v>
      </c>
      <c r="E109" s="254">
        <v>7000</v>
      </c>
      <c r="F109" s="254">
        <v>11.741164354495943</v>
      </c>
      <c r="G109" s="255">
        <v>596.19299999999998</v>
      </c>
      <c r="H109" s="256" t="s">
        <v>199</v>
      </c>
      <c r="I109" s="256" t="s">
        <v>336</v>
      </c>
      <c r="J109" s="256" t="s">
        <v>97</v>
      </c>
      <c r="K109" s="257" t="s">
        <v>1902</v>
      </c>
      <c r="L109" s="256" t="s">
        <v>2086</v>
      </c>
      <c r="M109" s="252"/>
      <c r="N109" s="252"/>
      <c r="O109" s="252"/>
    </row>
    <row r="110" spans="1:15" hidden="1">
      <c r="A110" s="251">
        <v>45681</v>
      </c>
      <c r="B110" s="252" t="s">
        <v>3690</v>
      </c>
      <c r="C110" s="258" t="s">
        <v>173</v>
      </c>
      <c r="D110" s="253" t="s">
        <v>442</v>
      </c>
      <c r="E110" s="254">
        <v>5000</v>
      </c>
      <c r="F110" s="254">
        <v>8.3865459674971028</v>
      </c>
      <c r="G110" s="255">
        <v>596.19299999999998</v>
      </c>
      <c r="H110" s="256" t="s">
        <v>316</v>
      </c>
      <c r="I110" s="256" t="s">
        <v>337</v>
      </c>
      <c r="J110" s="256" t="s">
        <v>97</v>
      </c>
      <c r="K110" s="257" t="s">
        <v>1902</v>
      </c>
      <c r="L110" s="256" t="s">
        <v>2086</v>
      </c>
      <c r="M110" s="252"/>
      <c r="N110" s="252"/>
      <c r="O110" s="252"/>
    </row>
    <row r="111" spans="1:15" hidden="1">
      <c r="A111" s="251">
        <v>45681</v>
      </c>
      <c r="B111" s="252" t="s">
        <v>3690</v>
      </c>
      <c r="C111" s="258" t="s">
        <v>173</v>
      </c>
      <c r="D111" s="253" t="s">
        <v>442</v>
      </c>
      <c r="E111" s="254">
        <v>5000</v>
      </c>
      <c r="F111" s="254">
        <v>8.3865459674971028</v>
      </c>
      <c r="G111" s="255">
        <v>596.19299999999998</v>
      </c>
      <c r="H111" s="256" t="s">
        <v>316</v>
      </c>
      <c r="I111" s="256" t="s">
        <v>338</v>
      </c>
      <c r="J111" s="256" t="s">
        <v>97</v>
      </c>
      <c r="K111" s="257" t="s">
        <v>1902</v>
      </c>
      <c r="L111" s="256" t="s">
        <v>2086</v>
      </c>
      <c r="M111" s="252"/>
      <c r="N111" s="252"/>
      <c r="O111" s="252"/>
    </row>
    <row r="112" spans="1:15" hidden="1">
      <c r="A112" s="251">
        <v>45681</v>
      </c>
      <c r="B112" s="252" t="s">
        <v>3756</v>
      </c>
      <c r="C112" s="258" t="s">
        <v>176</v>
      </c>
      <c r="D112" s="253" t="s">
        <v>442</v>
      </c>
      <c r="E112" s="254">
        <v>30000</v>
      </c>
      <c r="F112" s="254">
        <v>50.319275804982617</v>
      </c>
      <c r="G112" s="255">
        <v>596.19299999999998</v>
      </c>
      <c r="H112" s="256" t="s">
        <v>183</v>
      </c>
      <c r="I112" s="256" t="s">
        <v>339</v>
      </c>
      <c r="J112" s="256" t="s">
        <v>97</v>
      </c>
      <c r="K112" s="257" t="s">
        <v>1902</v>
      </c>
      <c r="L112" s="256" t="s">
        <v>2086</v>
      </c>
      <c r="M112" s="252"/>
      <c r="N112" s="252"/>
      <c r="O112" s="252"/>
    </row>
    <row r="113" spans="1:15" hidden="1">
      <c r="A113" s="251">
        <v>45681</v>
      </c>
      <c r="B113" s="252" t="s">
        <v>3759</v>
      </c>
      <c r="C113" s="258" t="s">
        <v>173</v>
      </c>
      <c r="D113" s="253" t="s">
        <v>442</v>
      </c>
      <c r="E113" s="254">
        <v>6000</v>
      </c>
      <c r="F113" s="254">
        <v>10.063855160996523</v>
      </c>
      <c r="G113" s="255">
        <v>596.19299999999998</v>
      </c>
      <c r="H113" s="256" t="s">
        <v>183</v>
      </c>
      <c r="I113" s="256" t="s">
        <v>340</v>
      </c>
      <c r="J113" s="256" t="s">
        <v>97</v>
      </c>
      <c r="K113" s="257" t="s">
        <v>1902</v>
      </c>
      <c r="L113" s="256" t="s">
        <v>2086</v>
      </c>
      <c r="M113" s="252"/>
      <c r="N113" s="252"/>
      <c r="O113" s="252"/>
    </row>
    <row r="114" spans="1:15" hidden="1">
      <c r="A114" s="251">
        <v>45681</v>
      </c>
      <c r="B114" s="252" t="s">
        <v>3867</v>
      </c>
      <c r="C114" s="258" t="s">
        <v>176</v>
      </c>
      <c r="D114" s="253" t="s">
        <v>442</v>
      </c>
      <c r="E114" s="254">
        <v>30000</v>
      </c>
      <c r="F114" s="254">
        <v>50.319275804982617</v>
      </c>
      <c r="G114" s="255">
        <v>596.19299999999998</v>
      </c>
      <c r="H114" s="256" t="s">
        <v>174</v>
      </c>
      <c r="I114" s="256" t="s">
        <v>341</v>
      </c>
      <c r="J114" s="256" t="s">
        <v>97</v>
      </c>
      <c r="K114" s="257" t="s">
        <v>1902</v>
      </c>
      <c r="L114" s="256" t="s">
        <v>2086</v>
      </c>
      <c r="M114" s="252"/>
      <c r="N114" s="252"/>
      <c r="O114" s="252"/>
    </row>
    <row r="115" spans="1:15" hidden="1">
      <c r="A115" s="251">
        <v>45681</v>
      </c>
      <c r="B115" s="252" t="s">
        <v>3870</v>
      </c>
      <c r="C115" s="258" t="s">
        <v>173</v>
      </c>
      <c r="D115" s="253" t="s">
        <v>442</v>
      </c>
      <c r="E115" s="254">
        <v>15000</v>
      </c>
      <c r="F115" s="254">
        <v>25.159637902491308</v>
      </c>
      <c r="G115" s="255">
        <v>596.19299999999998</v>
      </c>
      <c r="H115" s="256" t="s">
        <v>174</v>
      </c>
      <c r="I115" s="256" t="s">
        <v>342</v>
      </c>
      <c r="J115" s="256" t="s">
        <v>97</v>
      </c>
      <c r="K115" s="257" t="s">
        <v>1902</v>
      </c>
      <c r="L115" s="256" t="s">
        <v>2086</v>
      </c>
      <c r="M115" s="252"/>
      <c r="N115" s="252"/>
      <c r="O115" s="252"/>
    </row>
    <row r="116" spans="1:15" hidden="1">
      <c r="A116" s="251">
        <v>45681</v>
      </c>
      <c r="B116" s="252" t="s">
        <v>3647</v>
      </c>
      <c r="C116" s="258" t="s">
        <v>176</v>
      </c>
      <c r="D116" s="253" t="s">
        <v>442</v>
      </c>
      <c r="E116" s="254">
        <v>30000</v>
      </c>
      <c r="F116" s="254">
        <v>50.319275804982617</v>
      </c>
      <c r="G116" s="255">
        <v>596.19299999999998</v>
      </c>
      <c r="H116" s="256" t="s">
        <v>322</v>
      </c>
      <c r="I116" s="256" t="s">
        <v>343</v>
      </c>
      <c r="J116" s="256" t="s">
        <v>97</v>
      </c>
      <c r="K116" s="257" t="s">
        <v>1902</v>
      </c>
      <c r="L116" s="256" t="s">
        <v>2086</v>
      </c>
      <c r="M116" s="252"/>
      <c r="N116" s="252"/>
      <c r="O116" s="252"/>
    </row>
    <row r="117" spans="1:15" hidden="1">
      <c r="A117" s="251">
        <v>45681</v>
      </c>
      <c r="B117" s="252" t="s">
        <v>3648</v>
      </c>
      <c r="C117" s="258" t="s">
        <v>173</v>
      </c>
      <c r="D117" s="253" t="s">
        <v>442</v>
      </c>
      <c r="E117" s="254">
        <v>8000</v>
      </c>
      <c r="F117" s="254">
        <v>13.418473547995363</v>
      </c>
      <c r="G117" s="255">
        <v>596.19299999999998</v>
      </c>
      <c r="H117" s="256" t="s">
        <v>322</v>
      </c>
      <c r="I117" s="256" t="s">
        <v>344</v>
      </c>
      <c r="J117" s="256" t="s">
        <v>97</v>
      </c>
      <c r="K117" s="257" t="s">
        <v>1902</v>
      </c>
      <c r="L117" s="256" t="s">
        <v>2086</v>
      </c>
      <c r="M117" s="252"/>
      <c r="N117" s="252"/>
      <c r="O117" s="252"/>
    </row>
    <row r="118" spans="1:15" hidden="1">
      <c r="A118" s="251">
        <v>45681</v>
      </c>
      <c r="B118" s="252" t="s">
        <v>345</v>
      </c>
      <c r="C118" s="258" t="s">
        <v>173</v>
      </c>
      <c r="D118" s="253" t="s">
        <v>116</v>
      </c>
      <c r="E118" s="254">
        <v>7000</v>
      </c>
      <c r="F118" s="254">
        <v>11.741164354495943</v>
      </c>
      <c r="G118" s="255">
        <v>596.19299999999998</v>
      </c>
      <c r="H118" s="256" t="s">
        <v>186</v>
      </c>
      <c r="I118" s="256" t="s">
        <v>310</v>
      </c>
      <c r="J118" s="256" t="s">
        <v>97</v>
      </c>
      <c r="K118" s="257" t="s">
        <v>1902</v>
      </c>
      <c r="L118" s="256" t="s">
        <v>2086</v>
      </c>
      <c r="M118" s="252"/>
      <c r="N118" s="252"/>
      <c r="O118" s="252"/>
    </row>
    <row r="119" spans="1:15" hidden="1">
      <c r="A119" s="251">
        <v>45682</v>
      </c>
      <c r="B119" s="252" t="s">
        <v>346</v>
      </c>
      <c r="C119" s="258" t="s">
        <v>176</v>
      </c>
      <c r="D119" s="253" t="s">
        <v>116</v>
      </c>
      <c r="E119" s="254">
        <v>150000</v>
      </c>
      <c r="F119" s="254">
        <v>251.59637902491309</v>
      </c>
      <c r="G119" s="255">
        <v>596.19299999999998</v>
      </c>
      <c r="H119" s="256" t="s">
        <v>199</v>
      </c>
      <c r="I119" s="256" t="s">
        <v>347</v>
      </c>
      <c r="J119" s="256" t="s">
        <v>97</v>
      </c>
      <c r="K119" s="257" t="s">
        <v>1902</v>
      </c>
      <c r="L119" s="256" t="s">
        <v>2086</v>
      </c>
      <c r="M119" s="252"/>
      <c r="N119" s="252"/>
      <c r="O119" s="252"/>
    </row>
    <row r="120" spans="1:15" hidden="1">
      <c r="A120" s="251">
        <v>45682</v>
      </c>
      <c r="B120" s="252" t="s">
        <v>348</v>
      </c>
      <c r="C120" s="258" t="s">
        <v>173</v>
      </c>
      <c r="D120" s="253" t="s">
        <v>116</v>
      </c>
      <c r="E120" s="254">
        <v>13500</v>
      </c>
      <c r="F120" s="254">
        <v>22.643674112242177</v>
      </c>
      <c r="G120" s="255">
        <v>596.19299999999998</v>
      </c>
      <c r="H120" s="256" t="s">
        <v>199</v>
      </c>
      <c r="I120" s="256" t="s">
        <v>349</v>
      </c>
      <c r="J120" s="256" t="s">
        <v>97</v>
      </c>
      <c r="K120" s="257" t="s">
        <v>1902</v>
      </c>
      <c r="L120" s="256" t="s">
        <v>2086</v>
      </c>
      <c r="M120" s="252"/>
      <c r="N120" s="252"/>
      <c r="O120" s="252"/>
    </row>
    <row r="121" spans="1:15" hidden="1">
      <c r="A121" s="251">
        <v>45682</v>
      </c>
      <c r="B121" s="252" t="s">
        <v>350</v>
      </c>
      <c r="C121" s="258" t="s">
        <v>176</v>
      </c>
      <c r="D121" s="253" t="s">
        <v>116</v>
      </c>
      <c r="E121" s="254">
        <v>240000</v>
      </c>
      <c r="F121" s="254">
        <v>402.55420643986093</v>
      </c>
      <c r="G121" s="255">
        <v>596.19299999999998</v>
      </c>
      <c r="H121" s="256" t="s">
        <v>186</v>
      </c>
      <c r="I121" s="256" t="s">
        <v>351</v>
      </c>
      <c r="J121" s="256" t="s">
        <v>97</v>
      </c>
      <c r="K121" s="257" t="s">
        <v>1902</v>
      </c>
      <c r="L121" s="256" t="s">
        <v>2086</v>
      </c>
      <c r="M121" s="252"/>
      <c r="N121" s="252"/>
      <c r="O121" s="252"/>
    </row>
    <row r="122" spans="1:15" hidden="1">
      <c r="A122" s="251">
        <v>45683</v>
      </c>
      <c r="B122" s="252" t="s">
        <v>3691</v>
      </c>
      <c r="C122" s="258" t="s">
        <v>176</v>
      </c>
      <c r="D122" s="253" t="s">
        <v>442</v>
      </c>
      <c r="E122" s="254">
        <v>60000</v>
      </c>
      <c r="F122" s="254">
        <v>100.63855160996523</v>
      </c>
      <c r="G122" s="255">
        <v>596.19299999999998</v>
      </c>
      <c r="H122" s="256" t="s">
        <v>316</v>
      </c>
      <c r="I122" s="256" t="s">
        <v>352</v>
      </c>
      <c r="J122" s="256" t="s">
        <v>97</v>
      </c>
      <c r="K122" s="257" t="s">
        <v>1902</v>
      </c>
      <c r="L122" s="256" t="s">
        <v>2086</v>
      </c>
      <c r="M122" s="252"/>
      <c r="N122" s="252"/>
      <c r="O122" s="252"/>
    </row>
    <row r="123" spans="1:15" hidden="1">
      <c r="A123" s="251">
        <v>45683</v>
      </c>
      <c r="B123" s="252" t="s">
        <v>3689</v>
      </c>
      <c r="C123" s="258" t="s">
        <v>173</v>
      </c>
      <c r="D123" s="253" t="s">
        <v>442</v>
      </c>
      <c r="E123" s="254">
        <v>3000</v>
      </c>
      <c r="F123" s="254">
        <v>5.0319275804982615</v>
      </c>
      <c r="G123" s="255">
        <v>596.19299999999998</v>
      </c>
      <c r="H123" s="256" t="s">
        <v>316</v>
      </c>
      <c r="I123" s="256" t="s">
        <v>354</v>
      </c>
      <c r="J123" s="256" t="s">
        <v>97</v>
      </c>
      <c r="K123" s="257" t="s">
        <v>1902</v>
      </c>
      <c r="L123" s="256" t="s">
        <v>2086</v>
      </c>
      <c r="M123" s="252"/>
      <c r="N123" s="252"/>
      <c r="O123" s="252"/>
    </row>
    <row r="124" spans="1:15" hidden="1">
      <c r="A124" s="251">
        <v>45683</v>
      </c>
      <c r="B124" s="252" t="s">
        <v>3756</v>
      </c>
      <c r="C124" s="258" t="s">
        <v>176</v>
      </c>
      <c r="D124" s="253" t="s">
        <v>442</v>
      </c>
      <c r="E124" s="254">
        <v>30000</v>
      </c>
      <c r="F124" s="254">
        <v>50.319275804982617</v>
      </c>
      <c r="G124" s="255">
        <v>596.19299999999998</v>
      </c>
      <c r="H124" s="256" t="s">
        <v>183</v>
      </c>
      <c r="I124" s="256" t="s">
        <v>355</v>
      </c>
      <c r="J124" s="256" t="s">
        <v>97</v>
      </c>
      <c r="K124" s="257" t="s">
        <v>1902</v>
      </c>
      <c r="L124" s="256" t="s">
        <v>2086</v>
      </c>
      <c r="M124" s="252"/>
      <c r="N124" s="252"/>
      <c r="O124" s="252"/>
    </row>
    <row r="125" spans="1:15" hidden="1">
      <c r="A125" s="251">
        <v>45683</v>
      </c>
      <c r="B125" s="252" t="s">
        <v>3754</v>
      </c>
      <c r="C125" s="258" t="s">
        <v>173</v>
      </c>
      <c r="D125" s="253" t="s">
        <v>442</v>
      </c>
      <c r="E125" s="254">
        <v>6000</v>
      </c>
      <c r="F125" s="254">
        <v>10.063855160996523</v>
      </c>
      <c r="G125" s="255">
        <v>596.19299999999998</v>
      </c>
      <c r="H125" s="256" t="s">
        <v>183</v>
      </c>
      <c r="I125" s="256" t="s">
        <v>356</v>
      </c>
      <c r="J125" s="256" t="s">
        <v>97</v>
      </c>
      <c r="K125" s="257" t="s">
        <v>1902</v>
      </c>
      <c r="L125" s="256" t="s">
        <v>2086</v>
      </c>
      <c r="M125" s="252"/>
      <c r="N125" s="252"/>
      <c r="O125" s="252"/>
    </row>
    <row r="126" spans="1:15" hidden="1">
      <c r="A126" s="251">
        <v>45683</v>
      </c>
      <c r="B126" s="252" t="s">
        <v>3754</v>
      </c>
      <c r="C126" s="258" t="s">
        <v>173</v>
      </c>
      <c r="D126" s="253" t="s">
        <v>442</v>
      </c>
      <c r="E126" s="254">
        <v>5000</v>
      </c>
      <c r="F126" s="254">
        <v>8.3865459674971028</v>
      </c>
      <c r="G126" s="255">
        <v>596.19299999999998</v>
      </c>
      <c r="H126" s="256" t="s">
        <v>183</v>
      </c>
      <c r="I126" s="256" t="s">
        <v>357</v>
      </c>
      <c r="J126" s="256" t="s">
        <v>97</v>
      </c>
      <c r="K126" s="257" t="s">
        <v>1902</v>
      </c>
      <c r="L126" s="256" t="s">
        <v>2086</v>
      </c>
      <c r="M126" s="252"/>
      <c r="N126" s="252"/>
      <c r="O126" s="252"/>
    </row>
    <row r="127" spans="1:15" hidden="1">
      <c r="A127" s="251">
        <v>45683</v>
      </c>
      <c r="B127" s="252" t="s">
        <v>3871</v>
      </c>
      <c r="C127" s="258" t="s">
        <v>176</v>
      </c>
      <c r="D127" s="253" t="s">
        <v>442</v>
      </c>
      <c r="E127" s="254">
        <v>30000</v>
      </c>
      <c r="F127" s="254">
        <v>50.319275804982617</v>
      </c>
      <c r="G127" s="255">
        <v>596.19299999999998</v>
      </c>
      <c r="H127" s="256" t="s">
        <v>174</v>
      </c>
      <c r="I127" s="256" t="s">
        <v>358</v>
      </c>
      <c r="J127" s="256" t="s">
        <v>97</v>
      </c>
      <c r="K127" s="257" t="s">
        <v>1902</v>
      </c>
      <c r="L127" s="256" t="s">
        <v>2086</v>
      </c>
      <c r="M127" s="252"/>
      <c r="N127" s="252"/>
      <c r="O127" s="252"/>
    </row>
    <row r="128" spans="1:15" hidden="1">
      <c r="A128" s="251">
        <v>45683</v>
      </c>
      <c r="B128" s="252" t="s">
        <v>3869</v>
      </c>
      <c r="C128" s="258" t="s">
        <v>173</v>
      </c>
      <c r="D128" s="253" t="s">
        <v>442</v>
      </c>
      <c r="E128" s="254">
        <v>7000</v>
      </c>
      <c r="F128" s="254">
        <v>11.741164354495943</v>
      </c>
      <c r="G128" s="255">
        <v>596.19299999999998</v>
      </c>
      <c r="H128" s="256" t="s">
        <v>174</v>
      </c>
      <c r="I128" s="256" t="s">
        <v>359</v>
      </c>
      <c r="J128" s="256" t="s">
        <v>97</v>
      </c>
      <c r="K128" s="257" t="s">
        <v>1902</v>
      </c>
      <c r="L128" s="256" t="s">
        <v>2086</v>
      </c>
      <c r="M128" s="252"/>
      <c r="N128" s="252"/>
      <c r="O128" s="252"/>
    </row>
    <row r="129" spans="1:15" hidden="1">
      <c r="A129" s="251">
        <v>45683</v>
      </c>
      <c r="B129" s="252" t="s">
        <v>3649</v>
      </c>
      <c r="C129" s="258" t="s">
        <v>176</v>
      </c>
      <c r="D129" s="253" t="s">
        <v>442</v>
      </c>
      <c r="E129" s="254">
        <v>30000</v>
      </c>
      <c r="F129" s="254">
        <v>50.319275804982617</v>
      </c>
      <c r="G129" s="255">
        <v>596.19299999999998</v>
      </c>
      <c r="H129" s="256" t="s">
        <v>322</v>
      </c>
      <c r="I129" s="256" t="s">
        <v>360</v>
      </c>
      <c r="J129" s="256" t="s">
        <v>97</v>
      </c>
      <c r="K129" s="257" t="s">
        <v>1902</v>
      </c>
      <c r="L129" s="256" t="s">
        <v>2086</v>
      </c>
      <c r="M129" s="252"/>
      <c r="N129" s="252"/>
      <c r="O129" s="252"/>
    </row>
    <row r="130" spans="1:15" hidden="1">
      <c r="A130" s="251">
        <v>45683</v>
      </c>
      <c r="B130" s="252" t="s">
        <v>3648</v>
      </c>
      <c r="C130" s="258" t="s">
        <v>173</v>
      </c>
      <c r="D130" s="253" t="s">
        <v>442</v>
      </c>
      <c r="E130" s="254">
        <v>5000</v>
      </c>
      <c r="F130" s="254">
        <v>8.3865459674971028</v>
      </c>
      <c r="G130" s="255">
        <v>596.19299999999998</v>
      </c>
      <c r="H130" s="256" t="s">
        <v>322</v>
      </c>
      <c r="I130" s="256" t="s">
        <v>361</v>
      </c>
      <c r="J130" s="256" t="s">
        <v>97</v>
      </c>
      <c r="K130" s="257" t="s">
        <v>1902</v>
      </c>
      <c r="L130" s="256" t="s">
        <v>2086</v>
      </c>
      <c r="M130" s="252"/>
      <c r="N130" s="252"/>
      <c r="O130" s="252"/>
    </row>
    <row r="131" spans="1:15" hidden="1">
      <c r="A131" s="251">
        <v>45684</v>
      </c>
      <c r="B131" s="252" t="s">
        <v>362</v>
      </c>
      <c r="C131" s="252" t="s">
        <v>126</v>
      </c>
      <c r="D131" s="253" t="s">
        <v>116</v>
      </c>
      <c r="E131" s="254">
        <v>127070</v>
      </c>
      <c r="F131" s="254">
        <v>213.13567921797136</v>
      </c>
      <c r="G131" s="255">
        <v>596.19299999999998</v>
      </c>
      <c r="H131" s="256" t="s">
        <v>156</v>
      </c>
      <c r="I131" s="256" t="s">
        <v>363</v>
      </c>
      <c r="J131" s="256" t="s">
        <v>97</v>
      </c>
      <c r="K131" s="257" t="s">
        <v>1902</v>
      </c>
      <c r="L131" s="256" t="s">
        <v>2086</v>
      </c>
      <c r="M131" s="252"/>
      <c r="N131" s="252"/>
      <c r="O131" s="252"/>
    </row>
    <row r="132" spans="1:15" hidden="1">
      <c r="A132" s="251">
        <v>45684</v>
      </c>
      <c r="B132" s="252" t="s">
        <v>364</v>
      </c>
      <c r="C132" s="258" t="s">
        <v>365</v>
      </c>
      <c r="D132" s="253" t="s">
        <v>442</v>
      </c>
      <c r="E132" s="254">
        <v>17500</v>
      </c>
      <c r="F132" s="254">
        <v>30.690178266092612</v>
      </c>
      <c r="G132" s="255">
        <v>570.21500000000003</v>
      </c>
      <c r="H132" s="256" t="s">
        <v>316</v>
      </c>
      <c r="I132" s="256" t="s">
        <v>366</v>
      </c>
      <c r="J132" s="256" t="s">
        <v>97</v>
      </c>
      <c r="K132" s="257" t="s">
        <v>1902</v>
      </c>
      <c r="L132" s="256" t="s">
        <v>2086</v>
      </c>
      <c r="M132" s="252"/>
      <c r="N132" s="252"/>
      <c r="O132" s="252"/>
    </row>
    <row r="133" spans="1:15" hidden="1">
      <c r="A133" s="251">
        <v>45684</v>
      </c>
      <c r="B133" s="252" t="s">
        <v>367</v>
      </c>
      <c r="C133" s="258" t="s">
        <v>365</v>
      </c>
      <c r="D133" s="253" t="s">
        <v>442</v>
      </c>
      <c r="E133" s="254">
        <v>6000</v>
      </c>
      <c r="F133" s="254">
        <v>10.522346834088896</v>
      </c>
      <c r="G133" s="255">
        <v>570.21500000000003</v>
      </c>
      <c r="H133" s="256" t="s">
        <v>322</v>
      </c>
      <c r="I133" s="256" t="s">
        <v>369</v>
      </c>
      <c r="J133" s="256" t="s">
        <v>97</v>
      </c>
      <c r="K133" s="257" t="s">
        <v>1902</v>
      </c>
      <c r="L133" s="256" t="s">
        <v>2086</v>
      </c>
      <c r="M133" s="252"/>
      <c r="N133" s="252"/>
      <c r="O133" s="252"/>
    </row>
    <row r="134" spans="1:15" hidden="1">
      <c r="A134" s="251">
        <v>45684</v>
      </c>
      <c r="B134" s="252" t="s">
        <v>370</v>
      </c>
      <c r="C134" s="252" t="s">
        <v>126</v>
      </c>
      <c r="D134" s="253" t="s">
        <v>116</v>
      </c>
      <c r="E134" s="254">
        <v>30000</v>
      </c>
      <c r="F134" s="254">
        <v>50.319275804982617</v>
      </c>
      <c r="G134" s="255">
        <v>596.19299999999998</v>
      </c>
      <c r="H134" s="256" t="s">
        <v>196</v>
      </c>
      <c r="I134" s="256" t="s">
        <v>371</v>
      </c>
      <c r="J134" s="256" t="s">
        <v>97</v>
      </c>
      <c r="K134" s="257" t="s">
        <v>1902</v>
      </c>
      <c r="L134" s="256" t="s">
        <v>2086</v>
      </c>
      <c r="M134" s="252"/>
      <c r="N134" s="252"/>
      <c r="O134" s="252"/>
    </row>
    <row r="135" spans="1:15" hidden="1">
      <c r="A135" s="251">
        <v>45684</v>
      </c>
      <c r="B135" s="252" t="s">
        <v>372</v>
      </c>
      <c r="C135" s="252" t="s">
        <v>264</v>
      </c>
      <c r="D135" s="252" t="s">
        <v>2088</v>
      </c>
      <c r="E135" s="254">
        <v>30000</v>
      </c>
      <c r="F135" s="254">
        <v>52.611734170444478</v>
      </c>
      <c r="G135" s="255">
        <v>570.21500000000003</v>
      </c>
      <c r="H135" s="256" t="s">
        <v>196</v>
      </c>
      <c r="I135" s="256" t="s">
        <v>373</v>
      </c>
      <c r="J135" s="256" t="s">
        <v>97</v>
      </c>
      <c r="K135" s="257" t="s">
        <v>1902</v>
      </c>
      <c r="L135" s="256" t="s">
        <v>2086</v>
      </c>
      <c r="M135" s="252"/>
      <c r="N135" s="252"/>
      <c r="O135" s="252"/>
    </row>
    <row r="136" spans="1:15" hidden="1">
      <c r="A136" s="251">
        <v>45685</v>
      </c>
      <c r="B136" s="252" t="s">
        <v>374</v>
      </c>
      <c r="C136" s="252" t="s">
        <v>126</v>
      </c>
      <c r="D136" s="253" t="s">
        <v>118</v>
      </c>
      <c r="E136" s="254">
        <v>150000</v>
      </c>
      <c r="F136" s="254">
        <v>251.59637902491309</v>
      </c>
      <c r="G136" s="255">
        <v>596.19299999999998</v>
      </c>
      <c r="H136" s="256" t="s">
        <v>152</v>
      </c>
      <c r="I136" s="256" t="s">
        <v>375</v>
      </c>
      <c r="J136" s="256" t="s">
        <v>97</v>
      </c>
      <c r="K136" s="257" t="s">
        <v>1902</v>
      </c>
      <c r="L136" s="256" t="s">
        <v>2086</v>
      </c>
      <c r="M136" s="252"/>
      <c r="N136" s="252"/>
      <c r="O136" s="252"/>
    </row>
    <row r="137" spans="1:15" hidden="1">
      <c r="A137" s="251">
        <v>45685</v>
      </c>
      <c r="B137" s="252" t="s">
        <v>3692</v>
      </c>
      <c r="C137" s="258" t="s">
        <v>176</v>
      </c>
      <c r="D137" s="253" t="s">
        <v>442</v>
      </c>
      <c r="E137" s="254">
        <v>30000</v>
      </c>
      <c r="F137" s="254">
        <v>50.319275804982617</v>
      </c>
      <c r="G137" s="255">
        <v>596.19299999999998</v>
      </c>
      <c r="H137" s="256" t="s">
        <v>316</v>
      </c>
      <c r="I137" s="256" t="s">
        <v>376</v>
      </c>
      <c r="J137" s="256" t="s">
        <v>97</v>
      </c>
      <c r="K137" s="257" t="s">
        <v>1902</v>
      </c>
      <c r="L137" s="256" t="s">
        <v>2086</v>
      </c>
      <c r="M137" s="252"/>
      <c r="N137" s="252"/>
      <c r="O137" s="252"/>
    </row>
    <row r="138" spans="1:15" hidden="1">
      <c r="A138" s="251">
        <v>45685</v>
      </c>
      <c r="B138" s="252" t="s">
        <v>3689</v>
      </c>
      <c r="C138" s="258" t="s">
        <v>173</v>
      </c>
      <c r="D138" s="253" t="s">
        <v>442</v>
      </c>
      <c r="E138" s="254">
        <v>2000</v>
      </c>
      <c r="F138" s="254">
        <v>3.3546183869988409</v>
      </c>
      <c r="G138" s="255">
        <v>596.19299999999998</v>
      </c>
      <c r="H138" s="256" t="s">
        <v>316</v>
      </c>
      <c r="I138" s="256" t="s">
        <v>377</v>
      </c>
      <c r="J138" s="256" t="s">
        <v>97</v>
      </c>
      <c r="K138" s="257" t="s">
        <v>1902</v>
      </c>
      <c r="L138" s="256" t="s">
        <v>2086</v>
      </c>
      <c r="M138" s="252"/>
      <c r="N138" s="252"/>
      <c r="O138" s="252"/>
    </row>
    <row r="139" spans="1:15" hidden="1">
      <c r="A139" s="251">
        <v>45685</v>
      </c>
      <c r="B139" s="252" t="s">
        <v>3756</v>
      </c>
      <c r="C139" s="258" t="s">
        <v>176</v>
      </c>
      <c r="D139" s="253" t="s">
        <v>442</v>
      </c>
      <c r="E139" s="254">
        <v>30000</v>
      </c>
      <c r="F139" s="254">
        <v>50.319275804982617</v>
      </c>
      <c r="G139" s="255">
        <v>596.19299999999998</v>
      </c>
      <c r="H139" s="256" t="s">
        <v>183</v>
      </c>
      <c r="I139" s="256" t="s">
        <v>378</v>
      </c>
      <c r="J139" s="256" t="s">
        <v>97</v>
      </c>
      <c r="K139" s="257" t="s">
        <v>1902</v>
      </c>
      <c r="L139" s="256" t="s">
        <v>2086</v>
      </c>
      <c r="M139" s="252"/>
      <c r="N139" s="252"/>
      <c r="O139" s="252"/>
    </row>
    <row r="140" spans="1:15" hidden="1">
      <c r="A140" s="251">
        <v>45685</v>
      </c>
      <c r="B140" s="252" t="s">
        <v>3759</v>
      </c>
      <c r="C140" s="258" t="s">
        <v>173</v>
      </c>
      <c r="D140" s="253" t="s">
        <v>442</v>
      </c>
      <c r="E140" s="254">
        <v>5000</v>
      </c>
      <c r="F140" s="254">
        <v>8.3865459674971028</v>
      </c>
      <c r="G140" s="255">
        <v>596.19299999999998</v>
      </c>
      <c r="H140" s="256" t="s">
        <v>183</v>
      </c>
      <c r="I140" s="256" t="s">
        <v>379</v>
      </c>
      <c r="J140" s="256" t="s">
        <v>97</v>
      </c>
      <c r="K140" s="257" t="s">
        <v>1902</v>
      </c>
      <c r="L140" s="256" t="s">
        <v>2086</v>
      </c>
      <c r="M140" s="252"/>
      <c r="N140" s="252"/>
      <c r="O140" s="252"/>
    </row>
    <row r="141" spans="1:15" hidden="1">
      <c r="A141" s="251">
        <v>45685</v>
      </c>
      <c r="B141" s="252" t="s">
        <v>3867</v>
      </c>
      <c r="C141" s="258" t="s">
        <v>176</v>
      </c>
      <c r="D141" s="253" t="s">
        <v>442</v>
      </c>
      <c r="E141" s="254">
        <v>30000</v>
      </c>
      <c r="F141" s="254">
        <v>50.319275804982617</v>
      </c>
      <c r="G141" s="255">
        <v>596.19299999999998</v>
      </c>
      <c r="H141" s="256" t="s">
        <v>174</v>
      </c>
      <c r="I141" s="256" t="s">
        <v>380</v>
      </c>
      <c r="J141" s="256" t="s">
        <v>97</v>
      </c>
      <c r="K141" s="257" t="s">
        <v>1902</v>
      </c>
      <c r="L141" s="256" t="s">
        <v>2086</v>
      </c>
      <c r="M141" s="252"/>
      <c r="N141" s="252"/>
      <c r="O141" s="252"/>
    </row>
    <row r="142" spans="1:15" hidden="1">
      <c r="A142" s="251">
        <v>45685</v>
      </c>
      <c r="B142" s="252" t="s">
        <v>3872</v>
      </c>
      <c r="C142" s="258" t="s">
        <v>173</v>
      </c>
      <c r="D142" s="253" t="s">
        <v>442</v>
      </c>
      <c r="E142" s="254">
        <v>5000</v>
      </c>
      <c r="F142" s="254">
        <v>8.3865459674971028</v>
      </c>
      <c r="G142" s="255">
        <v>596.19299999999998</v>
      </c>
      <c r="H142" s="256" t="s">
        <v>174</v>
      </c>
      <c r="I142" s="256" t="s">
        <v>381</v>
      </c>
      <c r="J142" s="256" t="s">
        <v>97</v>
      </c>
      <c r="K142" s="257" t="s">
        <v>1902</v>
      </c>
      <c r="L142" s="256" t="s">
        <v>2086</v>
      </c>
      <c r="M142" s="252"/>
      <c r="N142" s="252"/>
      <c r="O142" s="252"/>
    </row>
    <row r="143" spans="1:15" hidden="1">
      <c r="A143" s="251">
        <v>45685</v>
      </c>
      <c r="B143" s="252" t="s">
        <v>3650</v>
      </c>
      <c r="C143" s="258" t="s">
        <v>176</v>
      </c>
      <c r="D143" s="253" t="s">
        <v>442</v>
      </c>
      <c r="E143" s="254">
        <v>30000</v>
      </c>
      <c r="F143" s="254">
        <v>50.319275804982617</v>
      </c>
      <c r="G143" s="255">
        <v>596.19299999999998</v>
      </c>
      <c r="H143" s="256" t="s">
        <v>322</v>
      </c>
      <c r="I143" s="256" t="s">
        <v>382</v>
      </c>
      <c r="J143" s="256" t="s">
        <v>97</v>
      </c>
      <c r="K143" s="257" t="s">
        <v>1902</v>
      </c>
      <c r="L143" s="256" t="s">
        <v>2086</v>
      </c>
      <c r="M143" s="252"/>
      <c r="N143" s="252"/>
      <c r="O143" s="252"/>
    </row>
    <row r="144" spans="1:15" hidden="1">
      <c r="A144" s="251">
        <v>45685</v>
      </c>
      <c r="B144" s="252" t="s">
        <v>3651</v>
      </c>
      <c r="C144" s="258" t="s">
        <v>173</v>
      </c>
      <c r="D144" s="253" t="s">
        <v>442</v>
      </c>
      <c r="E144" s="254">
        <v>5000</v>
      </c>
      <c r="F144" s="254">
        <v>8.3865459674971028</v>
      </c>
      <c r="G144" s="255">
        <v>596.19299999999998</v>
      </c>
      <c r="H144" s="256" t="s">
        <v>322</v>
      </c>
      <c r="I144" s="256" t="s">
        <v>383</v>
      </c>
      <c r="J144" s="256" t="s">
        <v>97</v>
      </c>
      <c r="K144" s="257" t="s">
        <v>1902</v>
      </c>
      <c r="L144" s="256" t="s">
        <v>2086</v>
      </c>
      <c r="M144" s="252"/>
      <c r="N144" s="252"/>
      <c r="O144" s="252"/>
    </row>
    <row r="145" spans="1:15" hidden="1">
      <c r="A145" s="251">
        <v>45685</v>
      </c>
      <c r="B145" s="252" t="s">
        <v>384</v>
      </c>
      <c r="C145" s="258" t="s">
        <v>1164</v>
      </c>
      <c r="D145" s="252" t="s">
        <v>117</v>
      </c>
      <c r="E145" s="254">
        <v>62500</v>
      </c>
      <c r="F145" s="254">
        <v>104.83182459371379</v>
      </c>
      <c r="G145" s="255">
        <v>596.19299999999998</v>
      </c>
      <c r="H145" s="256" t="s">
        <v>192</v>
      </c>
      <c r="I145" s="256" t="s">
        <v>385</v>
      </c>
      <c r="J145" s="256" t="s">
        <v>97</v>
      </c>
      <c r="K145" s="257" t="s">
        <v>1902</v>
      </c>
      <c r="L145" s="256" t="s">
        <v>2086</v>
      </c>
      <c r="M145" s="252"/>
      <c r="N145" s="252"/>
      <c r="O145" s="252"/>
    </row>
    <row r="146" spans="1:15" hidden="1">
      <c r="A146" s="251">
        <v>45685</v>
      </c>
      <c r="B146" s="252" t="s">
        <v>111</v>
      </c>
      <c r="C146" s="252" t="s">
        <v>127</v>
      </c>
      <c r="D146" s="252" t="s">
        <v>117</v>
      </c>
      <c r="E146" s="254">
        <v>10665</v>
      </c>
      <c r="F146" s="254">
        <v>17.888502548671319</v>
      </c>
      <c r="G146" s="255">
        <v>596.19299999999998</v>
      </c>
      <c r="H146" s="256" t="s">
        <v>147</v>
      </c>
      <c r="I146" s="256" t="s">
        <v>140</v>
      </c>
      <c r="J146" s="256" t="s">
        <v>97</v>
      </c>
      <c r="K146" s="257" t="s">
        <v>1902</v>
      </c>
      <c r="L146" s="256" t="s">
        <v>2086</v>
      </c>
      <c r="M146" s="252"/>
      <c r="N146" s="252"/>
      <c r="O146" s="252"/>
    </row>
    <row r="147" spans="1:15" hidden="1">
      <c r="A147" s="251">
        <v>45686</v>
      </c>
      <c r="B147" s="252" t="s">
        <v>386</v>
      </c>
      <c r="C147" s="258" t="s">
        <v>303</v>
      </c>
      <c r="D147" s="252" t="s">
        <v>117</v>
      </c>
      <c r="E147" s="254">
        <v>75625</v>
      </c>
      <c r="F147" s="254">
        <v>126.84650775839368</v>
      </c>
      <c r="G147" s="255">
        <v>596.19299999999998</v>
      </c>
      <c r="H147" s="256" t="s">
        <v>156</v>
      </c>
      <c r="I147" s="256" t="s">
        <v>387</v>
      </c>
      <c r="J147" s="256" t="s">
        <v>97</v>
      </c>
      <c r="K147" s="257" t="s">
        <v>1902</v>
      </c>
      <c r="L147" s="256" t="s">
        <v>2086</v>
      </c>
      <c r="M147" s="252"/>
      <c r="N147" s="252"/>
      <c r="O147" s="252"/>
    </row>
    <row r="148" spans="1:15" hidden="1">
      <c r="A148" s="251">
        <v>45686</v>
      </c>
      <c r="B148" s="252" t="s">
        <v>3756</v>
      </c>
      <c r="C148" s="258" t="s">
        <v>176</v>
      </c>
      <c r="D148" s="253" t="s">
        <v>442</v>
      </c>
      <c r="E148" s="254">
        <v>15000</v>
      </c>
      <c r="F148" s="254">
        <v>25.159637902491308</v>
      </c>
      <c r="G148" s="255">
        <v>596.19299999999998</v>
      </c>
      <c r="H148" s="256" t="s">
        <v>183</v>
      </c>
      <c r="I148" s="256" t="s">
        <v>388</v>
      </c>
      <c r="J148" s="256" t="s">
        <v>97</v>
      </c>
      <c r="K148" s="257" t="s">
        <v>1902</v>
      </c>
      <c r="L148" s="256" t="s">
        <v>2086</v>
      </c>
      <c r="M148" s="252"/>
      <c r="N148" s="252"/>
      <c r="O148" s="252"/>
    </row>
    <row r="149" spans="1:15" hidden="1">
      <c r="A149" s="251">
        <v>45686</v>
      </c>
      <c r="B149" s="252" t="s">
        <v>3754</v>
      </c>
      <c r="C149" s="258" t="s">
        <v>173</v>
      </c>
      <c r="D149" s="253" t="s">
        <v>442</v>
      </c>
      <c r="E149" s="254">
        <v>3000</v>
      </c>
      <c r="F149" s="254">
        <v>5.0319275804982615</v>
      </c>
      <c r="G149" s="255">
        <v>596.19299999999998</v>
      </c>
      <c r="H149" s="256" t="s">
        <v>183</v>
      </c>
      <c r="I149" s="256" t="s">
        <v>389</v>
      </c>
      <c r="J149" s="256" t="s">
        <v>97</v>
      </c>
      <c r="K149" s="257" t="s">
        <v>1902</v>
      </c>
      <c r="L149" s="256" t="s">
        <v>2086</v>
      </c>
      <c r="M149" s="252"/>
      <c r="N149" s="252"/>
      <c r="O149" s="252"/>
    </row>
    <row r="150" spans="1:15" hidden="1">
      <c r="A150" s="251">
        <v>45686</v>
      </c>
      <c r="B150" s="252" t="s">
        <v>390</v>
      </c>
      <c r="C150" s="258" t="s">
        <v>365</v>
      </c>
      <c r="D150" s="253" t="s">
        <v>442</v>
      </c>
      <c r="E150" s="254">
        <v>70200</v>
      </c>
      <c r="F150" s="254">
        <v>123.11145795884008</v>
      </c>
      <c r="G150" s="255">
        <v>570.21500000000003</v>
      </c>
      <c r="H150" s="256" t="s">
        <v>183</v>
      </c>
      <c r="I150" s="256" t="s">
        <v>391</v>
      </c>
      <c r="J150" s="256" t="s">
        <v>97</v>
      </c>
      <c r="K150" s="257" t="s">
        <v>1902</v>
      </c>
      <c r="L150" s="256" t="s">
        <v>2086</v>
      </c>
      <c r="M150" s="252"/>
      <c r="N150" s="252"/>
      <c r="O150" s="252"/>
    </row>
    <row r="151" spans="1:15" hidden="1">
      <c r="A151" s="251">
        <v>45686</v>
      </c>
      <c r="B151" s="252" t="s">
        <v>3873</v>
      </c>
      <c r="C151" s="258" t="s">
        <v>173</v>
      </c>
      <c r="D151" s="253" t="s">
        <v>442</v>
      </c>
      <c r="E151" s="254">
        <v>2500</v>
      </c>
      <c r="F151" s="254">
        <v>4.1932729837485514</v>
      </c>
      <c r="G151" s="255">
        <v>596.19299999999998</v>
      </c>
      <c r="H151" s="256" t="s">
        <v>174</v>
      </c>
      <c r="I151" s="256" t="s">
        <v>392</v>
      </c>
      <c r="J151" s="256" t="s">
        <v>97</v>
      </c>
      <c r="K151" s="257" t="s">
        <v>1902</v>
      </c>
      <c r="L151" s="256" t="s">
        <v>2086</v>
      </c>
      <c r="M151" s="252"/>
      <c r="N151" s="252"/>
      <c r="O151" s="252"/>
    </row>
    <row r="152" spans="1:15" hidden="1">
      <c r="A152" s="251">
        <v>45686</v>
      </c>
      <c r="B152" s="252" t="s">
        <v>3871</v>
      </c>
      <c r="C152" s="258" t="s">
        <v>176</v>
      </c>
      <c r="D152" s="253" t="s">
        <v>442</v>
      </c>
      <c r="E152" s="254">
        <v>15000</v>
      </c>
      <c r="F152" s="254">
        <v>25.159637902491308</v>
      </c>
      <c r="G152" s="255">
        <v>596.19299999999998</v>
      </c>
      <c r="H152" s="256" t="s">
        <v>174</v>
      </c>
      <c r="I152" s="256" t="s">
        <v>393</v>
      </c>
      <c r="J152" s="256" t="s">
        <v>97</v>
      </c>
      <c r="K152" s="257" t="s">
        <v>1902</v>
      </c>
      <c r="L152" s="256" t="s">
        <v>2086</v>
      </c>
      <c r="M152" s="252"/>
      <c r="N152" s="252"/>
      <c r="O152" s="252"/>
    </row>
    <row r="153" spans="1:15" hidden="1">
      <c r="A153" s="251">
        <v>45686</v>
      </c>
      <c r="B153" s="252" t="s">
        <v>394</v>
      </c>
      <c r="C153" s="258" t="s">
        <v>365</v>
      </c>
      <c r="D153" s="253" t="s">
        <v>442</v>
      </c>
      <c r="E153" s="254">
        <v>32000</v>
      </c>
      <c r="F153" s="254">
        <v>56.119183115140778</v>
      </c>
      <c r="G153" s="255">
        <v>570.21500000000003</v>
      </c>
      <c r="H153" s="256" t="s">
        <v>174</v>
      </c>
      <c r="I153" s="256" t="s">
        <v>395</v>
      </c>
      <c r="J153" s="256" t="s">
        <v>97</v>
      </c>
      <c r="K153" s="257" t="s">
        <v>1902</v>
      </c>
      <c r="L153" s="256" t="s">
        <v>2086</v>
      </c>
      <c r="M153" s="252"/>
      <c r="N153" s="252"/>
      <c r="O153" s="252"/>
    </row>
    <row r="154" spans="1:15" hidden="1">
      <c r="A154" s="251">
        <v>45686</v>
      </c>
      <c r="B154" s="252" t="s">
        <v>3652</v>
      </c>
      <c r="C154" s="258" t="s">
        <v>176</v>
      </c>
      <c r="D154" s="253" t="s">
        <v>442</v>
      </c>
      <c r="E154" s="254">
        <v>15000</v>
      </c>
      <c r="F154" s="254">
        <v>25.159637902491308</v>
      </c>
      <c r="G154" s="255">
        <v>596.19299999999998</v>
      </c>
      <c r="H154" s="256" t="s">
        <v>322</v>
      </c>
      <c r="I154" s="256" t="s">
        <v>396</v>
      </c>
      <c r="J154" s="256" t="s">
        <v>97</v>
      </c>
      <c r="K154" s="257" t="s">
        <v>1902</v>
      </c>
      <c r="L154" s="256" t="s">
        <v>2086</v>
      </c>
      <c r="M154" s="252"/>
      <c r="N154" s="252"/>
      <c r="O154" s="252"/>
    </row>
    <row r="155" spans="1:15" hidden="1">
      <c r="A155" s="251">
        <v>45686</v>
      </c>
      <c r="B155" s="252" t="s">
        <v>3651</v>
      </c>
      <c r="C155" s="258" t="s">
        <v>173</v>
      </c>
      <c r="D155" s="253" t="s">
        <v>442</v>
      </c>
      <c r="E155" s="254">
        <v>3000</v>
      </c>
      <c r="F155" s="254">
        <v>5.0319275804982615</v>
      </c>
      <c r="G155" s="255">
        <v>596.19299999999998</v>
      </c>
      <c r="H155" s="256" t="s">
        <v>322</v>
      </c>
      <c r="I155" s="256" t="s">
        <v>397</v>
      </c>
      <c r="J155" s="256" t="s">
        <v>97</v>
      </c>
      <c r="K155" s="257" t="s">
        <v>1902</v>
      </c>
      <c r="L155" s="256" t="s">
        <v>2086</v>
      </c>
      <c r="M155" s="252"/>
      <c r="N155" s="252"/>
      <c r="O155" s="252"/>
    </row>
    <row r="156" spans="1:15" hidden="1">
      <c r="A156" s="251">
        <v>45686</v>
      </c>
      <c r="B156" s="252" t="s">
        <v>3653</v>
      </c>
      <c r="C156" s="258" t="s">
        <v>176</v>
      </c>
      <c r="D156" s="253" t="s">
        <v>442</v>
      </c>
      <c r="E156" s="254">
        <v>15000</v>
      </c>
      <c r="F156" s="254">
        <v>25.159637902491308</v>
      </c>
      <c r="G156" s="255">
        <v>596.19299999999998</v>
      </c>
      <c r="H156" s="256" t="s">
        <v>322</v>
      </c>
      <c r="I156" s="256" t="s">
        <v>398</v>
      </c>
      <c r="J156" s="256" t="s">
        <v>97</v>
      </c>
      <c r="K156" s="257" t="s">
        <v>1902</v>
      </c>
      <c r="L156" s="256" t="s">
        <v>2086</v>
      </c>
      <c r="M156" s="252"/>
      <c r="N156" s="252"/>
      <c r="O156" s="252"/>
    </row>
    <row r="157" spans="1:15" hidden="1">
      <c r="A157" s="251">
        <v>45687</v>
      </c>
      <c r="B157" s="252" t="s">
        <v>3691</v>
      </c>
      <c r="C157" s="258" t="s">
        <v>176</v>
      </c>
      <c r="D157" s="253" t="s">
        <v>442</v>
      </c>
      <c r="E157" s="254">
        <v>30000</v>
      </c>
      <c r="F157" s="254">
        <v>50.319275804982617</v>
      </c>
      <c r="G157" s="255">
        <v>596.19299999999998</v>
      </c>
      <c r="H157" s="256" t="s">
        <v>316</v>
      </c>
      <c r="I157" s="256" t="s">
        <v>399</v>
      </c>
      <c r="J157" s="256" t="s">
        <v>97</v>
      </c>
      <c r="K157" s="257" t="s">
        <v>1902</v>
      </c>
      <c r="L157" s="256" t="s">
        <v>2086</v>
      </c>
      <c r="M157" s="252"/>
      <c r="N157" s="252"/>
      <c r="O157" s="252"/>
    </row>
    <row r="158" spans="1:15" hidden="1">
      <c r="A158" s="251">
        <v>45687</v>
      </c>
      <c r="B158" s="252" t="s">
        <v>3689</v>
      </c>
      <c r="C158" s="258" t="s">
        <v>173</v>
      </c>
      <c r="D158" s="253" t="s">
        <v>442</v>
      </c>
      <c r="E158" s="254">
        <v>7000</v>
      </c>
      <c r="F158" s="254">
        <v>11.741164354495943</v>
      </c>
      <c r="G158" s="255">
        <v>596.19299999999998</v>
      </c>
      <c r="H158" s="256" t="s">
        <v>316</v>
      </c>
      <c r="I158" s="256" t="s">
        <v>400</v>
      </c>
      <c r="J158" s="256" t="s">
        <v>97</v>
      </c>
      <c r="K158" s="257" t="s">
        <v>1902</v>
      </c>
      <c r="L158" s="256" t="s">
        <v>2086</v>
      </c>
      <c r="M158" s="252"/>
      <c r="N158" s="252"/>
      <c r="O158" s="252"/>
    </row>
    <row r="159" spans="1:15" hidden="1">
      <c r="A159" s="251">
        <v>45687</v>
      </c>
      <c r="B159" s="252" t="s">
        <v>401</v>
      </c>
      <c r="C159" s="258" t="s">
        <v>173</v>
      </c>
      <c r="D159" s="253" t="s">
        <v>442</v>
      </c>
      <c r="E159" s="254">
        <v>39300</v>
      </c>
      <c r="F159" s="254">
        <v>65.918251304527232</v>
      </c>
      <c r="G159" s="255">
        <v>596.19299999999998</v>
      </c>
      <c r="H159" s="256" t="s">
        <v>316</v>
      </c>
      <c r="I159" s="256" t="s">
        <v>402</v>
      </c>
      <c r="J159" s="256" t="s">
        <v>97</v>
      </c>
      <c r="K159" s="257" t="s">
        <v>1902</v>
      </c>
      <c r="L159" s="256" t="s">
        <v>2086</v>
      </c>
      <c r="M159" s="252"/>
      <c r="N159" s="252"/>
      <c r="O159" s="252"/>
    </row>
    <row r="160" spans="1:15" hidden="1">
      <c r="A160" s="251">
        <v>45687</v>
      </c>
      <c r="B160" s="252" t="s">
        <v>3759</v>
      </c>
      <c r="C160" s="258" t="s">
        <v>173</v>
      </c>
      <c r="D160" s="253" t="s">
        <v>442</v>
      </c>
      <c r="E160" s="254">
        <v>7000</v>
      </c>
      <c r="F160" s="254">
        <v>11.741164354495943</v>
      </c>
      <c r="G160" s="255">
        <v>596.19299999999998</v>
      </c>
      <c r="H160" s="256" t="s">
        <v>183</v>
      </c>
      <c r="I160" s="256" t="s">
        <v>403</v>
      </c>
      <c r="J160" s="256" t="s">
        <v>97</v>
      </c>
      <c r="K160" s="257" t="s">
        <v>1902</v>
      </c>
      <c r="L160" s="256" t="s">
        <v>2086</v>
      </c>
      <c r="M160" s="252"/>
      <c r="N160" s="252"/>
      <c r="O160" s="252"/>
    </row>
    <row r="161" spans="1:15" hidden="1">
      <c r="A161" s="251">
        <v>45687</v>
      </c>
      <c r="B161" s="252" t="s">
        <v>3756</v>
      </c>
      <c r="C161" s="258" t="s">
        <v>176</v>
      </c>
      <c r="D161" s="253" t="s">
        <v>442</v>
      </c>
      <c r="E161" s="254">
        <v>15000</v>
      </c>
      <c r="F161" s="254">
        <v>25.159637902491308</v>
      </c>
      <c r="G161" s="255">
        <v>596.19299999999998</v>
      </c>
      <c r="H161" s="256" t="s">
        <v>183</v>
      </c>
      <c r="I161" s="256" t="s">
        <v>404</v>
      </c>
      <c r="J161" s="256" t="s">
        <v>97</v>
      </c>
      <c r="K161" s="257" t="s">
        <v>1902</v>
      </c>
      <c r="L161" s="256" t="s">
        <v>2086</v>
      </c>
      <c r="M161" s="252"/>
      <c r="N161" s="252"/>
      <c r="O161" s="252"/>
    </row>
    <row r="162" spans="1:15" hidden="1">
      <c r="A162" s="251">
        <v>45687</v>
      </c>
      <c r="B162" s="252" t="s">
        <v>405</v>
      </c>
      <c r="C162" s="258" t="s">
        <v>173</v>
      </c>
      <c r="D162" s="253" t="s">
        <v>442</v>
      </c>
      <c r="E162" s="254">
        <v>54800</v>
      </c>
      <c r="F162" s="254">
        <v>91.916543803768249</v>
      </c>
      <c r="G162" s="255">
        <v>596.19299999999998</v>
      </c>
      <c r="H162" s="256" t="s">
        <v>183</v>
      </c>
      <c r="I162" s="256" t="s">
        <v>406</v>
      </c>
      <c r="J162" s="256" t="s">
        <v>97</v>
      </c>
      <c r="K162" s="257" t="s">
        <v>1902</v>
      </c>
      <c r="L162" s="256" t="s">
        <v>2086</v>
      </c>
      <c r="M162" s="252"/>
      <c r="N162" s="252"/>
      <c r="O162" s="252"/>
    </row>
    <row r="163" spans="1:15" hidden="1">
      <c r="A163" s="251">
        <v>45687</v>
      </c>
      <c r="B163" s="252" t="s">
        <v>3871</v>
      </c>
      <c r="C163" s="258" t="s">
        <v>176</v>
      </c>
      <c r="D163" s="253" t="s">
        <v>442</v>
      </c>
      <c r="E163" s="254">
        <v>15000</v>
      </c>
      <c r="F163" s="254">
        <v>25.159637902491308</v>
      </c>
      <c r="G163" s="255">
        <v>596.19299999999998</v>
      </c>
      <c r="H163" s="256" t="s">
        <v>174</v>
      </c>
      <c r="I163" s="256" t="s">
        <v>407</v>
      </c>
      <c r="J163" s="256" t="s">
        <v>97</v>
      </c>
      <c r="K163" s="257" t="s">
        <v>1902</v>
      </c>
      <c r="L163" s="256" t="s">
        <v>2086</v>
      </c>
      <c r="M163" s="252"/>
      <c r="N163" s="252"/>
      <c r="O163" s="252"/>
    </row>
    <row r="164" spans="1:15" hidden="1">
      <c r="A164" s="251">
        <v>45687</v>
      </c>
      <c r="B164" s="252" t="s">
        <v>3874</v>
      </c>
      <c r="C164" s="258" t="s">
        <v>173</v>
      </c>
      <c r="D164" s="253" t="s">
        <v>442</v>
      </c>
      <c r="E164" s="254">
        <v>8000</v>
      </c>
      <c r="F164" s="254">
        <v>13.418473547995363</v>
      </c>
      <c r="G164" s="255">
        <v>596.19299999999998</v>
      </c>
      <c r="H164" s="256" t="s">
        <v>174</v>
      </c>
      <c r="I164" s="256" t="s">
        <v>408</v>
      </c>
      <c r="J164" s="256" t="s">
        <v>97</v>
      </c>
      <c r="K164" s="257" t="s">
        <v>1902</v>
      </c>
      <c r="L164" s="256" t="s">
        <v>2086</v>
      </c>
      <c r="M164" s="252"/>
      <c r="N164" s="252"/>
      <c r="O164" s="252"/>
    </row>
    <row r="165" spans="1:15" hidden="1">
      <c r="A165" s="251">
        <v>45687</v>
      </c>
      <c r="B165" s="252" t="s">
        <v>409</v>
      </c>
      <c r="C165" s="258" t="s">
        <v>173</v>
      </c>
      <c r="D165" s="253" t="s">
        <v>442</v>
      </c>
      <c r="E165" s="254">
        <v>63400</v>
      </c>
      <c r="F165" s="254">
        <v>106.34140286786327</v>
      </c>
      <c r="G165" s="255">
        <v>596.19299999999998</v>
      </c>
      <c r="H165" s="256" t="s">
        <v>174</v>
      </c>
      <c r="I165" s="256" t="s">
        <v>410</v>
      </c>
      <c r="J165" s="256" t="s">
        <v>97</v>
      </c>
      <c r="K165" s="257" t="s">
        <v>1902</v>
      </c>
      <c r="L165" s="256" t="s">
        <v>2086</v>
      </c>
      <c r="M165" s="252"/>
      <c r="N165" s="252"/>
      <c r="O165" s="252"/>
    </row>
    <row r="166" spans="1:15" hidden="1">
      <c r="A166" s="251">
        <v>45687</v>
      </c>
      <c r="B166" s="252" t="s">
        <v>3654</v>
      </c>
      <c r="C166" s="258" t="s">
        <v>173</v>
      </c>
      <c r="D166" s="253" t="s">
        <v>442</v>
      </c>
      <c r="E166" s="254">
        <v>8000</v>
      </c>
      <c r="F166" s="254">
        <v>13.418473547995363</v>
      </c>
      <c r="G166" s="255">
        <v>596.19299999999998</v>
      </c>
      <c r="H166" s="256" t="s">
        <v>322</v>
      </c>
      <c r="I166" s="256" t="s">
        <v>411</v>
      </c>
      <c r="J166" s="256" t="s">
        <v>97</v>
      </c>
      <c r="K166" s="257" t="s">
        <v>1902</v>
      </c>
      <c r="L166" s="256" t="s">
        <v>2086</v>
      </c>
      <c r="M166" s="252"/>
      <c r="N166" s="252"/>
      <c r="O166" s="252"/>
    </row>
    <row r="167" spans="1:15" hidden="1">
      <c r="A167" s="251">
        <v>45687</v>
      </c>
      <c r="B167" s="252" t="s">
        <v>412</v>
      </c>
      <c r="C167" s="258" t="s">
        <v>173</v>
      </c>
      <c r="D167" s="253" t="s">
        <v>442</v>
      </c>
      <c r="E167" s="254">
        <v>38500</v>
      </c>
      <c r="F167" s="254">
        <v>64.576403949727691</v>
      </c>
      <c r="G167" s="255">
        <v>596.19299999999998</v>
      </c>
      <c r="H167" s="256" t="s">
        <v>322</v>
      </c>
      <c r="I167" s="256" t="s">
        <v>413</v>
      </c>
      <c r="J167" s="256" t="s">
        <v>97</v>
      </c>
      <c r="K167" s="257" t="s">
        <v>1902</v>
      </c>
      <c r="L167" s="256" t="s">
        <v>2086</v>
      </c>
      <c r="M167" s="252"/>
      <c r="N167" s="252"/>
      <c r="O167" s="252"/>
    </row>
    <row r="168" spans="1:15" hidden="1">
      <c r="A168" s="251">
        <v>45687</v>
      </c>
      <c r="B168" s="252" t="s">
        <v>414</v>
      </c>
      <c r="C168" s="258" t="s">
        <v>173</v>
      </c>
      <c r="D168" s="253" t="s">
        <v>116</v>
      </c>
      <c r="E168" s="254">
        <v>33500</v>
      </c>
      <c r="F168" s="254">
        <v>56.189857982230585</v>
      </c>
      <c r="G168" s="255">
        <v>596.19299999999998</v>
      </c>
      <c r="H168" s="256" t="s">
        <v>192</v>
      </c>
      <c r="I168" s="256" t="s">
        <v>415</v>
      </c>
      <c r="J168" s="256" t="s">
        <v>97</v>
      </c>
      <c r="K168" s="257" t="s">
        <v>1902</v>
      </c>
      <c r="L168" s="256" t="s">
        <v>2086</v>
      </c>
      <c r="M168" s="252"/>
      <c r="N168" s="252"/>
      <c r="O168" s="252"/>
    </row>
    <row r="169" spans="1:15" hidden="1">
      <c r="A169" s="251">
        <v>45687</v>
      </c>
      <c r="B169" s="252" t="s">
        <v>416</v>
      </c>
      <c r="C169" s="258" t="s">
        <v>173</v>
      </c>
      <c r="D169" s="252" t="s">
        <v>119</v>
      </c>
      <c r="E169" s="254">
        <v>24500</v>
      </c>
      <c r="F169" s="254">
        <v>41.094075240735805</v>
      </c>
      <c r="G169" s="255">
        <v>596.19299999999998</v>
      </c>
      <c r="H169" s="256" t="s">
        <v>212</v>
      </c>
      <c r="I169" s="256" t="s">
        <v>417</v>
      </c>
      <c r="J169" s="256" t="s">
        <v>97</v>
      </c>
      <c r="K169" s="257" t="s">
        <v>1902</v>
      </c>
      <c r="L169" s="256" t="s">
        <v>2086</v>
      </c>
      <c r="M169" s="252"/>
      <c r="N169" s="252"/>
      <c r="O169" s="252"/>
    </row>
    <row r="170" spans="1:15" hidden="1">
      <c r="A170" s="251">
        <v>45687</v>
      </c>
      <c r="B170" s="252" t="s">
        <v>418</v>
      </c>
      <c r="C170" s="258" t="s">
        <v>2089</v>
      </c>
      <c r="D170" s="252" t="s">
        <v>119</v>
      </c>
      <c r="E170" s="254">
        <v>148000</v>
      </c>
      <c r="F170" s="254">
        <v>248.24176063791424</v>
      </c>
      <c r="G170" s="255">
        <v>596.19299999999998</v>
      </c>
      <c r="H170" s="256" t="s">
        <v>212</v>
      </c>
      <c r="I170" s="256" t="s">
        <v>419</v>
      </c>
      <c r="J170" s="256" t="s">
        <v>97</v>
      </c>
      <c r="K170" s="257" t="s">
        <v>1902</v>
      </c>
      <c r="L170" s="256" t="s">
        <v>2086</v>
      </c>
      <c r="M170" s="252"/>
      <c r="N170" s="252"/>
      <c r="O170" s="252"/>
    </row>
    <row r="171" spans="1:15" hidden="1">
      <c r="A171" s="251">
        <v>45688</v>
      </c>
      <c r="B171" s="252" t="s">
        <v>420</v>
      </c>
      <c r="C171" s="258" t="s">
        <v>173</v>
      </c>
      <c r="D171" s="253" t="s">
        <v>118</v>
      </c>
      <c r="E171" s="254">
        <v>25500</v>
      </c>
      <c r="F171" s="254">
        <v>42.771384434235223</v>
      </c>
      <c r="G171" s="255">
        <v>596.19299999999998</v>
      </c>
      <c r="H171" s="256" t="s">
        <v>152</v>
      </c>
      <c r="I171" s="256" t="s">
        <v>421</v>
      </c>
      <c r="J171" s="256" t="s">
        <v>97</v>
      </c>
      <c r="K171" s="257" t="s">
        <v>1902</v>
      </c>
      <c r="L171" s="256" t="s">
        <v>2086</v>
      </c>
      <c r="M171" s="252"/>
      <c r="N171" s="252"/>
      <c r="O171" s="252"/>
    </row>
    <row r="172" spans="1:15" hidden="1">
      <c r="A172" s="251">
        <v>45688</v>
      </c>
      <c r="B172" s="252" t="s">
        <v>422</v>
      </c>
      <c r="C172" s="252" t="s">
        <v>423</v>
      </c>
      <c r="D172" s="253" t="s">
        <v>118</v>
      </c>
      <c r="E172" s="254">
        <v>174625</v>
      </c>
      <c r="F172" s="254">
        <v>292.9001179148363</v>
      </c>
      <c r="G172" s="255">
        <v>596.19299999999998</v>
      </c>
      <c r="H172" s="256" t="s">
        <v>152</v>
      </c>
      <c r="I172" s="256" t="s">
        <v>424</v>
      </c>
      <c r="J172" s="256" t="s">
        <v>97</v>
      </c>
      <c r="K172" s="257" t="s">
        <v>1902</v>
      </c>
      <c r="L172" s="256" t="s">
        <v>2086</v>
      </c>
      <c r="M172" s="252"/>
      <c r="N172" s="252"/>
      <c r="O172" s="252"/>
    </row>
    <row r="173" spans="1:15" hidden="1">
      <c r="A173" s="251">
        <v>45688</v>
      </c>
      <c r="B173" s="252" t="s">
        <v>425</v>
      </c>
      <c r="C173" s="258" t="s">
        <v>173</v>
      </c>
      <c r="D173" s="252" t="s">
        <v>117</v>
      </c>
      <c r="E173" s="254">
        <v>41000</v>
      </c>
      <c r="F173" s="254">
        <v>68.769676933476248</v>
      </c>
      <c r="G173" s="255">
        <v>596.19299999999998</v>
      </c>
      <c r="H173" s="256" t="s">
        <v>156</v>
      </c>
      <c r="I173" s="256" t="s">
        <v>426</v>
      </c>
      <c r="J173" s="256" t="s">
        <v>97</v>
      </c>
      <c r="K173" s="257" t="s">
        <v>1902</v>
      </c>
      <c r="L173" s="256" t="s">
        <v>2086</v>
      </c>
      <c r="M173" s="252"/>
      <c r="N173" s="252"/>
      <c r="O173" s="252"/>
    </row>
    <row r="174" spans="1:15" hidden="1">
      <c r="A174" s="251">
        <v>45688</v>
      </c>
      <c r="B174" s="252" t="s">
        <v>427</v>
      </c>
      <c r="C174" s="258" t="s">
        <v>303</v>
      </c>
      <c r="D174" s="252" t="s">
        <v>117</v>
      </c>
      <c r="E174" s="254">
        <v>6000</v>
      </c>
      <c r="F174" s="254">
        <v>10.063855160996523</v>
      </c>
      <c r="G174" s="255">
        <v>596.19299999999998</v>
      </c>
      <c r="H174" s="256" t="s">
        <v>156</v>
      </c>
      <c r="I174" s="256" t="s">
        <v>428</v>
      </c>
      <c r="J174" s="256" t="s">
        <v>97</v>
      </c>
      <c r="K174" s="257" t="s">
        <v>1902</v>
      </c>
      <c r="L174" s="256" t="s">
        <v>2086</v>
      </c>
      <c r="M174" s="252"/>
      <c r="N174" s="252"/>
      <c r="O174" s="252"/>
    </row>
    <row r="175" spans="1:15" hidden="1">
      <c r="A175" s="251">
        <v>45688</v>
      </c>
      <c r="B175" s="252" t="s">
        <v>429</v>
      </c>
      <c r="C175" s="252" t="s">
        <v>430</v>
      </c>
      <c r="D175" s="252" t="s">
        <v>117</v>
      </c>
      <c r="E175" s="254">
        <v>45050</v>
      </c>
      <c r="F175" s="254">
        <v>75.562779167148889</v>
      </c>
      <c r="G175" s="255">
        <v>596.19299999999998</v>
      </c>
      <c r="H175" s="256" t="s">
        <v>156</v>
      </c>
      <c r="I175" s="256" t="s">
        <v>431</v>
      </c>
      <c r="J175" s="256" t="s">
        <v>97</v>
      </c>
      <c r="K175" s="257" t="s">
        <v>1902</v>
      </c>
      <c r="L175" s="256" t="s">
        <v>2086</v>
      </c>
      <c r="M175" s="252"/>
      <c r="N175" s="252"/>
      <c r="O175" s="252"/>
    </row>
    <row r="176" spans="1:15" hidden="1">
      <c r="A176" s="251">
        <v>45688</v>
      </c>
      <c r="B176" s="252" t="s">
        <v>432</v>
      </c>
      <c r="C176" s="258" t="s">
        <v>173</v>
      </c>
      <c r="D176" s="253" t="s">
        <v>116</v>
      </c>
      <c r="E176" s="254">
        <v>38000</v>
      </c>
      <c r="F176" s="254">
        <v>63.737749352977978</v>
      </c>
      <c r="G176" s="255">
        <v>596.19299999999998</v>
      </c>
      <c r="H176" s="256" t="s">
        <v>186</v>
      </c>
      <c r="I176" s="256" t="s">
        <v>433</v>
      </c>
      <c r="J176" s="256" t="s">
        <v>97</v>
      </c>
      <c r="K176" s="257" t="s">
        <v>1902</v>
      </c>
      <c r="L176" s="256" t="s">
        <v>2086</v>
      </c>
      <c r="M176" s="252"/>
      <c r="N176" s="252"/>
      <c r="O176" s="252"/>
    </row>
    <row r="177" spans="1:15" hidden="1">
      <c r="A177" s="251">
        <v>45688</v>
      </c>
      <c r="B177" s="252" t="s">
        <v>434</v>
      </c>
      <c r="C177" s="252" t="s">
        <v>435</v>
      </c>
      <c r="D177" s="252" t="s">
        <v>117</v>
      </c>
      <c r="E177" s="254">
        <v>50000</v>
      </c>
      <c r="F177" s="254">
        <v>83.865459674971021</v>
      </c>
      <c r="G177" s="255">
        <v>596.19299999999998</v>
      </c>
      <c r="H177" s="256" t="s">
        <v>189</v>
      </c>
      <c r="I177" s="256" t="s">
        <v>436</v>
      </c>
      <c r="J177" s="256" t="s">
        <v>97</v>
      </c>
      <c r="K177" s="257" t="s">
        <v>1902</v>
      </c>
      <c r="L177" s="256" t="s">
        <v>2086</v>
      </c>
      <c r="M177" s="252"/>
      <c r="N177" s="252"/>
      <c r="O177" s="252"/>
    </row>
    <row r="178" spans="1:15" hidden="1">
      <c r="A178" s="251">
        <v>45688</v>
      </c>
      <c r="B178" s="252" t="s">
        <v>112</v>
      </c>
      <c r="C178" s="252" t="s">
        <v>126</v>
      </c>
      <c r="D178" s="253" t="s">
        <v>442</v>
      </c>
      <c r="E178" s="254">
        <v>255000</v>
      </c>
      <c r="F178" s="254">
        <v>427.71384434235222</v>
      </c>
      <c r="G178" s="255">
        <v>596.19299999999998</v>
      </c>
      <c r="H178" s="256" t="s">
        <v>147</v>
      </c>
      <c r="I178" s="256" t="s">
        <v>143</v>
      </c>
      <c r="J178" s="256" t="s">
        <v>97</v>
      </c>
      <c r="K178" s="257" t="s">
        <v>1902</v>
      </c>
      <c r="L178" s="256" t="s">
        <v>2086</v>
      </c>
      <c r="M178" s="252"/>
      <c r="N178" s="252"/>
      <c r="O178" s="252"/>
    </row>
    <row r="179" spans="1:15" hidden="1">
      <c r="A179" s="251">
        <v>45688</v>
      </c>
      <c r="B179" s="252" t="s">
        <v>113</v>
      </c>
      <c r="C179" s="252" t="s">
        <v>126</v>
      </c>
      <c r="D179" s="253" t="s">
        <v>442</v>
      </c>
      <c r="E179" s="254">
        <v>335000</v>
      </c>
      <c r="F179" s="254">
        <v>561.89857982230592</v>
      </c>
      <c r="G179" s="255">
        <v>596.19299999999998</v>
      </c>
      <c r="H179" s="256" t="s">
        <v>147</v>
      </c>
      <c r="I179" s="256" t="s">
        <v>144</v>
      </c>
      <c r="J179" s="256" t="s">
        <v>97</v>
      </c>
      <c r="K179" s="257" t="s">
        <v>1902</v>
      </c>
      <c r="L179" s="256" t="s">
        <v>2086</v>
      </c>
      <c r="M179" s="252"/>
      <c r="N179" s="252"/>
      <c r="O179" s="252"/>
    </row>
    <row r="180" spans="1:15" hidden="1">
      <c r="A180" s="251">
        <v>45688</v>
      </c>
      <c r="B180" s="252" t="s">
        <v>114</v>
      </c>
      <c r="C180" s="252" t="s">
        <v>126</v>
      </c>
      <c r="D180" s="253" t="s">
        <v>442</v>
      </c>
      <c r="E180" s="254">
        <v>400000</v>
      </c>
      <c r="F180" s="254">
        <v>670.92367739976817</v>
      </c>
      <c r="G180" s="255">
        <v>596.19299999999998</v>
      </c>
      <c r="H180" s="256" t="s">
        <v>147</v>
      </c>
      <c r="I180" s="256" t="s">
        <v>145</v>
      </c>
      <c r="J180" s="256" t="s">
        <v>97</v>
      </c>
      <c r="K180" s="257" t="s">
        <v>1902</v>
      </c>
      <c r="L180" s="256" t="s">
        <v>2086</v>
      </c>
      <c r="M180" s="252"/>
      <c r="N180" s="252"/>
      <c r="O180" s="252"/>
    </row>
    <row r="181" spans="1:15" hidden="1">
      <c r="A181" s="251">
        <v>45688</v>
      </c>
      <c r="B181" s="252" t="s">
        <v>115</v>
      </c>
      <c r="C181" s="252" t="s">
        <v>126</v>
      </c>
      <c r="D181" s="253" t="s">
        <v>442</v>
      </c>
      <c r="E181" s="254">
        <v>255000</v>
      </c>
      <c r="F181" s="254">
        <v>427.71384434235222</v>
      </c>
      <c r="G181" s="255">
        <v>596.19299999999998</v>
      </c>
      <c r="H181" s="256" t="s">
        <v>147</v>
      </c>
      <c r="I181" s="256" t="s">
        <v>146</v>
      </c>
      <c r="J181" s="256" t="s">
        <v>97</v>
      </c>
      <c r="K181" s="257" t="s">
        <v>1902</v>
      </c>
      <c r="L181" s="256" t="s">
        <v>2086</v>
      </c>
      <c r="M181" s="252"/>
      <c r="N181" s="252"/>
      <c r="O181" s="252"/>
    </row>
    <row r="182" spans="1:15" hidden="1">
      <c r="A182" s="251">
        <v>45691</v>
      </c>
      <c r="B182" s="252" t="s">
        <v>534</v>
      </c>
      <c r="C182" s="252" t="s">
        <v>151</v>
      </c>
      <c r="D182" s="253" t="s">
        <v>118</v>
      </c>
      <c r="E182" s="254">
        <v>42000</v>
      </c>
      <c r="F182" s="254">
        <v>70.446986126975659</v>
      </c>
      <c r="G182" s="255">
        <v>579.25099999999998</v>
      </c>
      <c r="H182" s="256" t="s">
        <v>156</v>
      </c>
      <c r="I182" s="256" t="s">
        <v>535</v>
      </c>
      <c r="J182" s="256" t="s">
        <v>97</v>
      </c>
      <c r="K182" s="260" t="s">
        <v>201</v>
      </c>
      <c r="L182" s="256" t="s">
        <v>2086</v>
      </c>
      <c r="M182" s="252"/>
      <c r="N182" s="252"/>
      <c r="O182" s="252"/>
    </row>
    <row r="183" spans="1:15" hidden="1">
      <c r="A183" s="251">
        <v>45691</v>
      </c>
      <c r="B183" s="252" t="s">
        <v>536</v>
      </c>
      <c r="C183" s="252" t="s">
        <v>151</v>
      </c>
      <c r="D183" s="253" t="s">
        <v>116</v>
      </c>
      <c r="E183" s="254">
        <v>74000</v>
      </c>
      <c r="F183" s="254">
        <v>124.12088031895712</v>
      </c>
      <c r="G183" s="255">
        <v>579.25099999999998</v>
      </c>
      <c r="H183" s="256" t="s">
        <v>156</v>
      </c>
      <c r="I183" s="256" t="s">
        <v>537</v>
      </c>
      <c r="J183" s="256" t="s">
        <v>97</v>
      </c>
      <c r="K183" s="260" t="s">
        <v>201</v>
      </c>
      <c r="L183" s="256" t="s">
        <v>2086</v>
      </c>
      <c r="M183" s="252"/>
      <c r="N183" s="252"/>
      <c r="O183" s="252"/>
    </row>
    <row r="184" spans="1:15" hidden="1">
      <c r="A184" s="251">
        <v>45691</v>
      </c>
      <c r="B184" s="252" t="s">
        <v>538</v>
      </c>
      <c r="C184" s="252" t="s">
        <v>151</v>
      </c>
      <c r="D184" s="253" t="s">
        <v>442</v>
      </c>
      <c r="E184" s="254">
        <v>88000</v>
      </c>
      <c r="F184" s="254">
        <v>147.60320902794902</v>
      </c>
      <c r="G184" s="255">
        <v>579.25099999999998</v>
      </c>
      <c r="H184" s="256" t="s">
        <v>156</v>
      </c>
      <c r="I184" s="256" t="s">
        <v>539</v>
      </c>
      <c r="J184" s="256" t="s">
        <v>97</v>
      </c>
      <c r="K184" s="260" t="s">
        <v>201</v>
      </c>
      <c r="L184" s="256" t="s">
        <v>2086</v>
      </c>
      <c r="M184" s="252"/>
      <c r="N184" s="252"/>
      <c r="O184" s="252"/>
    </row>
    <row r="185" spans="1:15" hidden="1">
      <c r="A185" s="251">
        <v>45691</v>
      </c>
      <c r="B185" s="252" t="s">
        <v>540</v>
      </c>
      <c r="C185" s="252" t="s">
        <v>151</v>
      </c>
      <c r="D185" s="252" t="s">
        <v>119</v>
      </c>
      <c r="E185" s="254">
        <v>10000</v>
      </c>
      <c r="F185" s="254">
        <v>16.773091934994206</v>
      </c>
      <c r="G185" s="255">
        <v>579.25099999999998</v>
      </c>
      <c r="H185" s="256" t="s">
        <v>156</v>
      </c>
      <c r="I185" s="256" t="s">
        <v>541</v>
      </c>
      <c r="J185" s="256" t="s">
        <v>97</v>
      </c>
      <c r="K185" s="260" t="s">
        <v>201</v>
      </c>
      <c r="L185" s="256" t="s">
        <v>2086</v>
      </c>
      <c r="M185" s="252"/>
      <c r="N185" s="252"/>
      <c r="O185" s="252"/>
    </row>
    <row r="186" spans="1:15" hidden="1">
      <c r="A186" s="251">
        <v>45691</v>
      </c>
      <c r="B186" s="252" t="s">
        <v>542</v>
      </c>
      <c r="C186" s="252" t="s">
        <v>151</v>
      </c>
      <c r="D186" s="253" t="s">
        <v>116</v>
      </c>
      <c r="E186" s="254">
        <v>10000</v>
      </c>
      <c r="F186" s="254">
        <v>16.773091934994206</v>
      </c>
      <c r="G186" s="255">
        <v>579.25099999999998</v>
      </c>
      <c r="H186" s="256" t="s">
        <v>156</v>
      </c>
      <c r="I186" s="256" t="s">
        <v>543</v>
      </c>
      <c r="J186" s="256" t="s">
        <v>97</v>
      </c>
      <c r="K186" s="260" t="s">
        <v>201</v>
      </c>
      <c r="L186" s="256" t="s">
        <v>2086</v>
      </c>
      <c r="M186" s="252"/>
      <c r="N186" s="252"/>
      <c r="O186" s="252"/>
    </row>
    <row r="187" spans="1:15" hidden="1">
      <c r="A187" s="251">
        <v>45691</v>
      </c>
      <c r="B187" s="252" t="s">
        <v>544</v>
      </c>
      <c r="C187" s="252" t="s">
        <v>151</v>
      </c>
      <c r="D187" s="253" t="s">
        <v>442</v>
      </c>
      <c r="E187" s="254">
        <v>16000</v>
      </c>
      <c r="F187" s="254">
        <v>26.836947095990727</v>
      </c>
      <c r="G187" s="255">
        <v>579.25099999999998</v>
      </c>
      <c r="H187" s="256" t="s">
        <v>156</v>
      </c>
      <c r="I187" s="256" t="s">
        <v>545</v>
      </c>
      <c r="J187" s="256" t="s">
        <v>97</v>
      </c>
      <c r="K187" s="260" t="s">
        <v>201</v>
      </c>
      <c r="L187" s="256" t="s">
        <v>2086</v>
      </c>
      <c r="M187" s="252"/>
      <c r="N187" s="252"/>
      <c r="O187" s="252"/>
    </row>
    <row r="188" spans="1:15" hidden="1">
      <c r="A188" s="251">
        <v>45691</v>
      </c>
      <c r="B188" s="252" t="s">
        <v>546</v>
      </c>
      <c r="C188" s="252" t="s">
        <v>151</v>
      </c>
      <c r="D188" s="252" t="s">
        <v>119</v>
      </c>
      <c r="E188" s="254">
        <v>11000</v>
      </c>
      <c r="F188" s="254">
        <v>18.450401128493628</v>
      </c>
      <c r="G188" s="255">
        <v>579.25099999999998</v>
      </c>
      <c r="H188" s="256" t="s">
        <v>156</v>
      </c>
      <c r="I188" s="256" t="s">
        <v>547</v>
      </c>
      <c r="J188" s="256" t="s">
        <v>97</v>
      </c>
      <c r="K188" s="260" t="s">
        <v>201</v>
      </c>
      <c r="L188" s="256" t="s">
        <v>2086</v>
      </c>
      <c r="M188" s="252"/>
      <c r="N188" s="252"/>
      <c r="O188" s="252"/>
    </row>
    <row r="189" spans="1:15" hidden="1">
      <c r="A189" s="251">
        <v>45692</v>
      </c>
      <c r="B189" s="252" t="s">
        <v>697</v>
      </c>
      <c r="C189" s="258" t="s">
        <v>173</v>
      </c>
      <c r="D189" s="253" t="s">
        <v>116</v>
      </c>
      <c r="E189" s="254">
        <v>7000</v>
      </c>
      <c r="F189" s="254">
        <v>11.741164354495943</v>
      </c>
      <c r="G189" s="255">
        <v>579.25099999999998</v>
      </c>
      <c r="H189" s="256" t="s">
        <v>186</v>
      </c>
      <c r="I189" s="256" t="s">
        <v>698</v>
      </c>
      <c r="J189" s="256" t="s">
        <v>97</v>
      </c>
      <c r="K189" s="260" t="s">
        <v>201</v>
      </c>
      <c r="L189" s="256" t="s">
        <v>2086</v>
      </c>
      <c r="M189" s="252"/>
      <c r="N189" s="252"/>
      <c r="O189" s="252"/>
    </row>
    <row r="190" spans="1:15" hidden="1">
      <c r="A190" s="251">
        <v>45692</v>
      </c>
      <c r="B190" s="252" t="s">
        <v>548</v>
      </c>
      <c r="C190" s="252" t="s">
        <v>255</v>
      </c>
      <c r="D190" s="253" t="s">
        <v>116</v>
      </c>
      <c r="E190" s="254">
        <v>70000</v>
      </c>
      <c r="F190" s="254">
        <v>117.41164354495943</v>
      </c>
      <c r="G190" s="255">
        <v>579.25099999999998</v>
      </c>
      <c r="H190" s="256" t="s">
        <v>186</v>
      </c>
      <c r="I190" s="256" t="s">
        <v>549</v>
      </c>
      <c r="J190" s="256" t="s">
        <v>97</v>
      </c>
      <c r="K190" s="260" t="s">
        <v>201</v>
      </c>
      <c r="L190" s="256" t="s">
        <v>2086</v>
      </c>
      <c r="M190" s="252"/>
      <c r="N190" s="252"/>
      <c r="O190" s="252"/>
    </row>
    <row r="191" spans="1:15" hidden="1">
      <c r="A191" s="251">
        <v>45692</v>
      </c>
      <c r="B191" s="252" t="s">
        <v>733</v>
      </c>
      <c r="C191" s="258" t="s">
        <v>173</v>
      </c>
      <c r="D191" s="253" t="s">
        <v>116</v>
      </c>
      <c r="E191" s="254">
        <v>7000</v>
      </c>
      <c r="F191" s="254">
        <v>11.741164354495943</v>
      </c>
      <c r="G191" s="255">
        <v>579.25099999999998</v>
      </c>
      <c r="H191" s="256" t="s">
        <v>192</v>
      </c>
      <c r="I191" s="256" t="s">
        <v>734</v>
      </c>
      <c r="J191" s="256" t="s">
        <v>97</v>
      </c>
      <c r="K191" s="260" t="s">
        <v>201</v>
      </c>
      <c r="L191" s="256" t="s">
        <v>2086</v>
      </c>
      <c r="M191" s="252"/>
      <c r="N191" s="252"/>
      <c r="O191" s="252"/>
    </row>
    <row r="192" spans="1:15" hidden="1">
      <c r="A192" s="251">
        <v>45692</v>
      </c>
      <c r="B192" s="252" t="s">
        <v>99</v>
      </c>
      <c r="C192" s="258" t="s">
        <v>303</v>
      </c>
      <c r="D192" s="252" t="s">
        <v>117</v>
      </c>
      <c r="E192" s="254">
        <v>260000</v>
      </c>
      <c r="F192" s="254">
        <v>436.10039030984933</v>
      </c>
      <c r="G192" s="255">
        <v>579.25099999999998</v>
      </c>
      <c r="H192" s="256" t="s">
        <v>147</v>
      </c>
      <c r="I192" s="256" t="s">
        <v>479</v>
      </c>
      <c r="J192" s="256" t="s">
        <v>97</v>
      </c>
      <c r="K192" s="260" t="s">
        <v>201</v>
      </c>
      <c r="L192" s="256" t="s">
        <v>2086</v>
      </c>
      <c r="M192" s="252"/>
      <c r="N192" s="252"/>
      <c r="O192" s="252"/>
    </row>
    <row r="193" spans="1:15" hidden="1">
      <c r="A193" s="251">
        <v>45692</v>
      </c>
      <c r="B193" s="252" t="s">
        <v>3689</v>
      </c>
      <c r="C193" s="258" t="s">
        <v>173</v>
      </c>
      <c r="D193" s="253" t="s">
        <v>442</v>
      </c>
      <c r="E193" s="254">
        <v>9000</v>
      </c>
      <c r="F193" s="254">
        <v>15.095782741494785</v>
      </c>
      <c r="G193" s="255">
        <v>579.25099999999998</v>
      </c>
      <c r="H193" s="256" t="s">
        <v>316</v>
      </c>
      <c r="I193" s="256" t="s">
        <v>742</v>
      </c>
      <c r="J193" s="256" t="s">
        <v>97</v>
      </c>
      <c r="K193" s="260" t="s">
        <v>201</v>
      </c>
      <c r="L193" s="256" t="s">
        <v>2086</v>
      </c>
      <c r="M193" s="252"/>
      <c r="N193" s="252"/>
      <c r="O193" s="252"/>
    </row>
    <row r="194" spans="1:15" hidden="1">
      <c r="A194" s="251">
        <v>45693</v>
      </c>
      <c r="B194" s="252" t="s">
        <v>3759</v>
      </c>
      <c r="C194" s="258" t="s">
        <v>173</v>
      </c>
      <c r="D194" s="253" t="s">
        <v>442</v>
      </c>
      <c r="E194" s="254">
        <v>6000</v>
      </c>
      <c r="F194" s="254">
        <v>10.063855160996523</v>
      </c>
      <c r="G194" s="255">
        <v>579.25099999999998</v>
      </c>
      <c r="H194" s="256" t="s">
        <v>183</v>
      </c>
      <c r="I194" s="256" t="s">
        <v>652</v>
      </c>
      <c r="J194" s="256" t="s">
        <v>97</v>
      </c>
      <c r="K194" s="260" t="s">
        <v>201</v>
      </c>
      <c r="L194" s="256" t="s">
        <v>2086</v>
      </c>
      <c r="M194" s="252"/>
      <c r="N194" s="252"/>
      <c r="O194" s="252"/>
    </row>
    <row r="195" spans="1:15" hidden="1">
      <c r="A195" s="251">
        <v>45693</v>
      </c>
      <c r="B195" s="252" t="s">
        <v>550</v>
      </c>
      <c r="C195" s="258" t="s">
        <v>1164</v>
      </c>
      <c r="D195" s="252" t="s">
        <v>117</v>
      </c>
      <c r="E195" s="254">
        <v>25000</v>
      </c>
      <c r="F195" s="254">
        <v>41.93272983748551</v>
      </c>
      <c r="G195" s="255">
        <v>579.25099999999998</v>
      </c>
      <c r="H195" s="256" t="s">
        <v>156</v>
      </c>
      <c r="I195" s="256" t="s">
        <v>551</v>
      </c>
      <c r="J195" s="256" t="s">
        <v>97</v>
      </c>
      <c r="K195" s="260" t="s">
        <v>201</v>
      </c>
      <c r="L195" s="256" t="s">
        <v>2086</v>
      </c>
      <c r="M195" s="252"/>
      <c r="N195" s="252"/>
      <c r="O195" s="252"/>
    </row>
    <row r="196" spans="1:15" hidden="1">
      <c r="A196" s="251">
        <v>45693</v>
      </c>
      <c r="B196" s="252" t="s">
        <v>552</v>
      </c>
      <c r="C196" s="258" t="s">
        <v>1164</v>
      </c>
      <c r="D196" s="252" t="s">
        <v>117</v>
      </c>
      <c r="E196" s="254">
        <v>63000</v>
      </c>
      <c r="F196" s="254">
        <v>105.6704791904635</v>
      </c>
      <c r="G196" s="255">
        <v>579.25099999999998</v>
      </c>
      <c r="H196" s="256" t="s">
        <v>156</v>
      </c>
      <c r="I196" s="256" t="s">
        <v>553</v>
      </c>
      <c r="J196" s="256" t="s">
        <v>97</v>
      </c>
      <c r="K196" s="260" t="s">
        <v>201</v>
      </c>
      <c r="L196" s="256" t="s">
        <v>2086</v>
      </c>
      <c r="M196" s="252"/>
      <c r="N196" s="252"/>
      <c r="O196" s="252"/>
    </row>
    <row r="197" spans="1:15" hidden="1">
      <c r="A197" s="251">
        <v>45693</v>
      </c>
      <c r="B197" s="252" t="s">
        <v>3761</v>
      </c>
      <c r="C197" s="258" t="s">
        <v>176</v>
      </c>
      <c r="D197" s="253" t="s">
        <v>442</v>
      </c>
      <c r="E197" s="254">
        <v>230000</v>
      </c>
      <c r="F197" s="254">
        <v>385.78111450486671</v>
      </c>
      <c r="G197" s="255">
        <v>579.25099999999998</v>
      </c>
      <c r="H197" s="256" t="s">
        <v>183</v>
      </c>
      <c r="I197" s="256" t="s">
        <v>653</v>
      </c>
      <c r="J197" s="256" t="s">
        <v>97</v>
      </c>
      <c r="K197" s="260" t="s">
        <v>201</v>
      </c>
      <c r="L197" s="256" t="s">
        <v>2086</v>
      </c>
      <c r="M197" s="252"/>
      <c r="N197" s="252"/>
      <c r="O197" s="252"/>
    </row>
    <row r="198" spans="1:15" hidden="1">
      <c r="A198" s="251">
        <v>45693</v>
      </c>
      <c r="B198" s="252" t="s">
        <v>3693</v>
      </c>
      <c r="C198" s="258" t="s">
        <v>176</v>
      </c>
      <c r="D198" s="253" t="s">
        <v>442</v>
      </c>
      <c r="E198" s="254">
        <v>70000</v>
      </c>
      <c r="F198" s="254">
        <v>117.41164354495943</v>
      </c>
      <c r="G198" s="255">
        <v>579.25099999999998</v>
      </c>
      <c r="H198" s="256" t="s">
        <v>316</v>
      </c>
      <c r="I198" s="256" t="s">
        <v>741</v>
      </c>
      <c r="J198" s="256" t="s">
        <v>97</v>
      </c>
      <c r="K198" s="260" t="s">
        <v>201</v>
      </c>
      <c r="L198" s="256" t="s">
        <v>2086</v>
      </c>
      <c r="M198" s="252"/>
      <c r="N198" s="252"/>
      <c r="O198" s="252"/>
    </row>
    <row r="199" spans="1:15" hidden="1">
      <c r="A199" s="251">
        <v>45693</v>
      </c>
      <c r="B199" s="252" t="s">
        <v>3689</v>
      </c>
      <c r="C199" s="258" t="s">
        <v>173</v>
      </c>
      <c r="D199" s="253" t="s">
        <v>442</v>
      </c>
      <c r="E199" s="254">
        <v>5000</v>
      </c>
      <c r="F199" s="254">
        <v>8.3865459674971028</v>
      </c>
      <c r="G199" s="255">
        <v>579.25099999999998</v>
      </c>
      <c r="H199" s="256" t="s">
        <v>316</v>
      </c>
      <c r="I199" s="256" t="s">
        <v>742</v>
      </c>
      <c r="J199" s="256" t="s">
        <v>97</v>
      </c>
      <c r="K199" s="260" t="s">
        <v>201</v>
      </c>
      <c r="L199" s="256" t="s">
        <v>2086</v>
      </c>
      <c r="M199" s="252"/>
      <c r="N199" s="252"/>
      <c r="O199" s="252"/>
    </row>
    <row r="200" spans="1:15" hidden="1">
      <c r="A200" s="251">
        <v>45693</v>
      </c>
      <c r="B200" s="252" t="s">
        <v>699</v>
      </c>
      <c r="C200" s="258" t="s">
        <v>176</v>
      </c>
      <c r="D200" s="253" t="s">
        <v>116</v>
      </c>
      <c r="E200" s="254">
        <v>20000</v>
      </c>
      <c r="F200" s="254">
        <v>33.546183869988411</v>
      </c>
      <c r="G200" s="255">
        <v>579.25099999999998</v>
      </c>
      <c r="H200" s="256" t="s">
        <v>186</v>
      </c>
      <c r="I200" s="256" t="s">
        <v>700</v>
      </c>
      <c r="J200" s="256" t="s">
        <v>97</v>
      </c>
      <c r="K200" s="260" t="s">
        <v>201</v>
      </c>
      <c r="L200" s="256" t="s">
        <v>2086</v>
      </c>
      <c r="M200" s="252"/>
      <c r="N200" s="252"/>
      <c r="O200" s="252"/>
    </row>
    <row r="201" spans="1:15" hidden="1">
      <c r="A201" s="251">
        <v>45693</v>
      </c>
      <c r="B201" s="252" t="s">
        <v>735</v>
      </c>
      <c r="C201" s="258" t="s">
        <v>176</v>
      </c>
      <c r="D201" s="253" t="s">
        <v>116</v>
      </c>
      <c r="E201" s="254">
        <v>20000</v>
      </c>
      <c r="F201" s="254">
        <v>33.546183869988411</v>
      </c>
      <c r="G201" s="255">
        <v>579.25099999999998</v>
      </c>
      <c r="H201" s="256" t="s">
        <v>192</v>
      </c>
      <c r="I201" s="256" t="s">
        <v>736</v>
      </c>
      <c r="J201" s="256" t="s">
        <v>97</v>
      </c>
      <c r="K201" s="260" t="s">
        <v>201</v>
      </c>
      <c r="L201" s="256" t="s">
        <v>2086</v>
      </c>
      <c r="M201" s="252"/>
      <c r="N201" s="252"/>
      <c r="O201" s="252"/>
    </row>
    <row r="202" spans="1:15" hidden="1">
      <c r="A202" s="251">
        <v>45693</v>
      </c>
      <c r="B202" s="252" t="s">
        <v>98</v>
      </c>
      <c r="C202" s="258" t="s">
        <v>125</v>
      </c>
      <c r="D202" s="252" t="s">
        <v>117</v>
      </c>
      <c r="E202" s="254">
        <v>500000</v>
      </c>
      <c r="F202" s="254">
        <v>838.65459674971032</v>
      </c>
      <c r="G202" s="255">
        <v>579.25099999999998</v>
      </c>
      <c r="H202" s="256" t="s">
        <v>147</v>
      </c>
      <c r="I202" s="256" t="s">
        <v>480</v>
      </c>
      <c r="J202" s="256" t="s">
        <v>97</v>
      </c>
      <c r="K202" s="260" t="s">
        <v>201</v>
      </c>
      <c r="L202" s="256" t="s">
        <v>2086</v>
      </c>
      <c r="M202" s="252"/>
      <c r="N202" s="252"/>
      <c r="O202" s="252"/>
    </row>
    <row r="203" spans="1:15" hidden="1">
      <c r="A203" s="251">
        <v>45694</v>
      </c>
      <c r="B203" s="252" t="s">
        <v>3875</v>
      </c>
      <c r="C203" s="258" t="s">
        <v>173</v>
      </c>
      <c r="D203" s="253" t="s">
        <v>442</v>
      </c>
      <c r="E203" s="254">
        <v>9000</v>
      </c>
      <c r="F203" s="254">
        <v>15.095782741494785</v>
      </c>
      <c r="G203" s="255">
        <v>579.25099999999998</v>
      </c>
      <c r="H203" s="256" t="s">
        <v>174</v>
      </c>
      <c r="I203" s="256" t="s">
        <v>672</v>
      </c>
      <c r="J203" s="256" t="s">
        <v>97</v>
      </c>
      <c r="K203" s="260" t="s">
        <v>201</v>
      </c>
      <c r="L203" s="256" t="s">
        <v>2086</v>
      </c>
      <c r="M203" s="252"/>
      <c r="N203" s="252"/>
      <c r="O203" s="252"/>
    </row>
    <row r="204" spans="1:15" hidden="1">
      <c r="A204" s="251">
        <v>45694</v>
      </c>
      <c r="B204" s="252" t="s">
        <v>3876</v>
      </c>
      <c r="C204" s="258" t="s">
        <v>176</v>
      </c>
      <c r="D204" s="253" t="s">
        <v>442</v>
      </c>
      <c r="E204" s="254">
        <v>190000</v>
      </c>
      <c r="F204" s="254">
        <v>318.68874676488991</v>
      </c>
      <c r="G204" s="255">
        <v>579.25099999999998</v>
      </c>
      <c r="H204" s="256" t="s">
        <v>174</v>
      </c>
      <c r="I204" s="256" t="s">
        <v>673</v>
      </c>
      <c r="J204" s="256" t="s">
        <v>97</v>
      </c>
      <c r="K204" s="260" t="s">
        <v>201</v>
      </c>
      <c r="L204" s="256" t="s">
        <v>2086</v>
      </c>
      <c r="M204" s="252"/>
      <c r="N204" s="252"/>
      <c r="O204" s="252"/>
    </row>
    <row r="205" spans="1:15" hidden="1">
      <c r="A205" s="251">
        <v>45694</v>
      </c>
      <c r="B205" s="252" t="s">
        <v>498</v>
      </c>
      <c r="C205" s="258" t="s">
        <v>2089</v>
      </c>
      <c r="D205" s="252" t="s">
        <v>119</v>
      </c>
      <c r="E205" s="254">
        <v>148000</v>
      </c>
      <c r="F205" s="254">
        <v>248.24176063791424</v>
      </c>
      <c r="G205" s="255">
        <v>579.25099999999998</v>
      </c>
      <c r="H205" s="256" t="s">
        <v>212</v>
      </c>
      <c r="I205" s="256" t="s">
        <v>499</v>
      </c>
      <c r="J205" s="256" t="s">
        <v>97</v>
      </c>
      <c r="K205" s="260" t="s">
        <v>201</v>
      </c>
      <c r="L205" s="256" t="s">
        <v>2086</v>
      </c>
      <c r="M205" s="252"/>
      <c r="N205" s="252"/>
      <c r="O205" s="252"/>
    </row>
    <row r="206" spans="1:15" hidden="1">
      <c r="A206" s="251">
        <v>45695</v>
      </c>
      <c r="B206" s="252" t="s">
        <v>3759</v>
      </c>
      <c r="C206" s="258" t="s">
        <v>173</v>
      </c>
      <c r="D206" s="253" t="s">
        <v>442</v>
      </c>
      <c r="E206" s="254">
        <v>5000</v>
      </c>
      <c r="F206" s="254">
        <v>8.3865459674971028</v>
      </c>
      <c r="G206" s="255">
        <v>579.25099999999998</v>
      </c>
      <c r="H206" s="256" t="s">
        <v>183</v>
      </c>
      <c r="I206" s="256" t="s">
        <v>654</v>
      </c>
      <c r="J206" s="256" t="s">
        <v>97</v>
      </c>
      <c r="K206" s="260" t="s">
        <v>201</v>
      </c>
      <c r="L206" s="256" t="s">
        <v>2086</v>
      </c>
      <c r="M206" s="252"/>
      <c r="N206" s="252"/>
      <c r="O206" s="252"/>
    </row>
    <row r="207" spans="1:15" hidden="1">
      <c r="A207" s="251">
        <v>45695</v>
      </c>
      <c r="B207" s="252" t="s">
        <v>3756</v>
      </c>
      <c r="C207" s="258" t="s">
        <v>176</v>
      </c>
      <c r="D207" s="253" t="s">
        <v>442</v>
      </c>
      <c r="E207" s="254">
        <v>30000</v>
      </c>
      <c r="F207" s="254">
        <v>50.319275804982617</v>
      </c>
      <c r="G207" s="255">
        <v>579.25099999999998</v>
      </c>
      <c r="H207" s="256" t="s">
        <v>183</v>
      </c>
      <c r="I207" s="256" t="s">
        <v>655</v>
      </c>
      <c r="J207" s="256" t="s">
        <v>97</v>
      </c>
      <c r="K207" s="260" t="s">
        <v>201</v>
      </c>
      <c r="L207" s="256" t="s">
        <v>2086</v>
      </c>
      <c r="M207" s="252"/>
      <c r="N207" s="252"/>
      <c r="O207" s="252"/>
    </row>
    <row r="208" spans="1:15" hidden="1">
      <c r="A208" s="251">
        <v>45695</v>
      </c>
      <c r="B208" s="252" t="s">
        <v>3691</v>
      </c>
      <c r="C208" s="258" t="s">
        <v>176</v>
      </c>
      <c r="D208" s="253" t="s">
        <v>442</v>
      </c>
      <c r="E208" s="254">
        <v>30000</v>
      </c>
      <c r="F208" s="254">
        <v>50.319275804982617</v>
      </c>
      <c r="G208" s="255">
        <v>579.25099999999998</v>
      </c>
      <c r="H208" s="256" t="s">
        <v>316</v>
      </c>
      <c r="I208" s="256" t="s">
        <v>742</v>
      </c>
      <c r="J208" s="256" t="s">
        <v>97</v>
      </c>
      <c r="K208" s="260" t="s">
        <v>201</v>
      </c>
      <c r="L208" s="256" t="s">
        <v>2086</v>
      </c>
      <c r="M208" s="252"/>
      <c r="N208" s="252"/>
      <c r="O208" s="252"/>
    </row>
    <row r="209" spans="1:15" hidden="1">
      <c r="A209" s="251">
        <v>45695</v>
      </c>
      <c r="B209" s="252" t="s">
        <v>3694</v>
      </c>
      <c r="C209" s="258" t="s">
        <v>173</v>
      </c>
      <c r="D209" s="253" t="s">
        <v>442</v>
      </c>
      <c r="E209" s="254">
        <v>5000</v>
      </c>
      <c r="F209" s="254">
        <v>8.3865459674971028</v>
      </c>
      <c r="G209" s="255">
        <v>579.25099999999998</v>
      </c>
      <c r="H209" s="256" t="s">
        <v>316</v>
      </c>
      <c r="I209" s="256" t="s">
        <v>743</v>
      </c>
      <c r="J209" s="256" t="s">
        <v>97</v>
      </c>
      <c r="K209" s="260" t="s">
        <v>201</v>
      </c>
      <c r="L209" s="256" t="s">
        <v>2086</v>
      </c>
      <c r="M209" s="252"/>
      <c r="N209" s="252"/>
      <c r="O209" s="252"/>
    </row>
    <row r="210" spans="1:15" hidden="1">
      <c r="A210" s="251">
        <v>45695</v>
      </c>
      <c r="B210" s="252" t="s">
        <v>3689</v>
      </c>
      <c r="C210" s="258" t="s">
        <v>173</v>
      </c>
      <c r="D210" s="253" t="s">
        <v>442</v>
      </c>
      <c r="E210" s="254">
        <v>4500</v>
      </c>
      <c r="F210" s="254">
        <v>7.5478913707473927</v>
      </c>
      <c r="G210" s="255">
        <v>579.25099999999998</v>
      </c>
      <c r="H210" s="256" t="s">
        <v>316</v>
      </c>
      <c r="I210" s="256" t="s">
        <v>744</v>
      </c>
      <c r="J210" s="256" t="s">
        <v>97</v>
      </c>
      <c r="K210" s="260" t="s">
        <v>201</v>
      </c>
      <c r="L210" s="256" t="s">
        <v>2086</v>
      </c>
      <c r="M210" s="252"/>
      <c r="N210" s="252"/>
      <c r="O210" s="252"/>
    </row>
    <row r="211" spans="1:15" hidden="1">
      <c r="A211" s="251">
        <v>45695</v>
      </c>
      <c r="B211" s="252" t="s">
        <v>701</v>
      </c>
      <c r="C211" s="258" t="s">
        <v>173</v>
      </c>
      <c r="D211" s="253" t="s">
        <v>116</v>
      </c>
      <c r="E211" s="254">
        <v>7000</v>
      </c>
      <c r="F211" s="254">
        <v>11.741164354495943</v>
      </c>
      <c r="G211" s="255">
        <v>579.25099999999998</v>
      </c>
      <c r="H211" s="256" t="s">
        <v>186</v>
      </c>
      <c r="I211" s="256" t="s">
        <v>702</v>
      </c>
      <c r="J211" s="256" t="s">
        <v>97</v>
      </c>
      <c r="K211" s="260" t="s">
        <v>201</v>
      </c>
      <c r="L211" s="256" t="s">
        <v>2086</v>
      </c>
      <c r="M211" s="252"/>
      <c r="N211" s="252"/>
      <c r="O211" s="252"/>
    </row>
    <row r="212" spans="1:15" hidden="1">
      <c r="A212" s="251">
        <v>45695</v>
      </c>
      <c r="B212" s="252" t="s">
        <v>703</v>
      </c>
      <c r="C212" s="258" t="s">
        <v>176</v>
      </c>
      <c r="D212" s="253" t="s">
        <v>116</v>
      </c>
      <c r="E212" s="254">
        <v>30000</v>
      </c>
      <c r="F212" s="254">
        <v>50.319275804982617</v>
      </c>
      <c r="G212" s="255">
        <v>579.25099999999998</v>
      </c>
      <c r="H212" s="256" t="s">
        <v>186</v>
      </c>
      <c r="I212" s="256" t="s">
        <v>704</v>
      </c>
      <c r="J212" s="256" t="s">
        <v>97</v>
      </c>
      <c r="K212" s="260" t="s">
        <v>201</v>
      </c>
      <c r="L212" s="256" t="s">
        <v>2086</v>
      </c>
      <c r="M212" s="252"/>
      <c r="N212" s="252"/>
      <c r="O212" s="252"/>
    </row>
    <row r="213" spans="1:15" hidden="1">
      <c r="A213" s="251">
        <v>45695</v>
      </c>
      <c r="B213" s="252" t="s">
        <v>737</v>
      </c>
      <c r="C213" s="258" t="s">
        <v>173</v>
      </c>
      <c r="D213" s="253" t="s">
        <v>116</v>
      </c>
      <c r="E213" s="254">
        <v>7000</v>
      </c>
      <c r="F213" s="254">
        <v>11.741164354495943</v>
      </c>
      <c r="G213" s="255">
        <v>579.25099999999998</v>
      </c>
      <c r="H213" s="256" t="s">
        <v>192</v>
      </c>
      <c r="I213" s="256" t="s">
        <v>738</v>
      </c>
      <c r="J213" s="256" t="s">
        <v>97</v>
      </c>
      <c r="K213" s="260" t="s">
        <v>201</v>
      </c>
      <c r="L213" s="256" t="s">
        <v>2086</v>
      </c>
      <c r="M213" s="252"/>
      <c r="N213" s="252"/>
      <c r="O213" s="252"/>
    </row>
    <row r="214" spans="1:15" hidden="1">
      <c r="A214" s="251">
        <v>45695</v>
      </c>
      <c r="B214" s="252" t="s">
        <v>739</v>
      </c>
      <c r="C214" s="258" t="s">
        <v>176</v>
      </c>
      <c r="D214" s="253" t="s">
        <v>116</v>
      </c>
      <c r="E214" s="254">
        <v>30000</v>
      </c>
      <c r="F214" s="254">
        <v>50.319275804982617</v>
      </c>
      <c r="G214" s="255">
        <v>579.25099999999998</v>
      </c>
      <c r="H214" s="256" t="s">
        <v>192</v>
      </c>
      <c r="I214" s="256" t="s">
        <v>740</v>
      </c>
      <c r="J214" s="256" t="s">
        <v>97</v>
      </c>
      <c r="K214" s="260" t="s">
        <v>201</v>
      </c>
      <c r="L214" s="256" t="s">
        <v>2086</v>
      </c>
      <c r="M214" s="252"/>
      <c r="N214" s="252"/>
      <c r="O214" s="252"/>
    </row>
    <row r="215" spans="1:15" hidden="1">
      <c r="A215" s="251">
        <v>45695</v>
      </c>
      <c r="B215" s="252" t="s">
        <v>191</v>
      </c>
      <c r="C215" s="259" t="s">
        <v>2087</v>
      </c>
      <c r="D215" s="252" t="s">
        <v>117</v>
      </c>
      <c r="E215" s="254">
        <v>4830.0000000000009</v>
      </c>
      <c r="F215" s="254">
        <v>8.1014034046022019</v>
      </c>
      <c r="G215" s="255">
        <v>579.25099999999998</v>
      </c>
      <c r="H215" s="256" t="s">
        <v>189</v>
      </c>
      <c r="I215" s="256" t="s">
        <v>504</v>
      </c>
      <c r="J215" s="256" t="s">
        <v>97</v>
      </c>
      <c r="K215" s="260" t="s">
        <v>201</v>
      </c>
      <c r="L215" s="256" t="s">
        <v>2086</v>
      </c>
      <c r="M215" s="252"/>
      <c r="N215" s="252"/>
      <c r="O215" s="252"/>
    </row>
    <row r="216" spans="1:15" hidden="1">
      <c r="A216" s="251">
        <v>45695</v>
      </c>
      <c r="B216" s="252" t="s">
        <v>771</v>
      </c>
      <c r="C216" s="259" t="s">
        <v>2087</v>
      </c>
      <c r="D216" s="252" t="s">
        <v>117</v>
      </c>
      <c r="E216" s="254">
        <v>13615</v>
      </c>
      <c r="F216" s="254">
        <v>22.180704562790044</v>
      </c>
      <c r="G216" s="255">
        <v>579.25099999999998</v>
      </c>
      <c r="H216" s="256" t="s">
        <v>192</v>
      </c>
      <c r="I216" s="256" t="s">
        <v>609</v>
      </c>
      <c r="J216" s="256" t="s">
        <v>97</v>
      </c>
      <c r="K216" s="260" t="s">
        <v>201</v>
      </c>
      <c r="L216" s="256" t="s">
        <v>2086</v>
      </c>
      <c r="M216" s="252"/>
      <c r="N216" s="252"/>
      <c r="O216" s="252"/>
    </row>
    <row r="217" spans="1:15" hidden="1">
      <c r="A217" s="251">
        <v>45696</v>
      </c>
      <c r="B217" s="252" t="s">
        <v>3654</v>
      </c>
      <c r="C217" s="258" t="s">
        <v>173</v>
      </c>
      <c r="D217" s="253" t="s">
        <v>442</v>
      </c>
      <c r="E217" s="254">
        <v>8000</v>
      </c>
      <c r="F217" s="254">
        <v>13.418473547995363</v>
      </c>
      <c r="G217" s="255">
        <v>579.25099999999998</v>
      </c>
      <c r="H217" s="256" t="s">
        <v>322</v>
      </c>
      <c r="I217" s="256" t="s">
        <v>683</v>
      </c>
      <c r="J217" s="256" t="s">
        <v>97</v>
      </c>
      <c r="K217" s="260" t="s">
        <v>201</v>
      </c>
      <c r="L217" s="256" t="s">
        <v>2086</v>
      </c>
      <c r="M217" s="252"/>
      <c r="N217" s="252"/>
      <c r="O217" s="252"/>
    </row>
    <row r="218" spans="1:15" hidden="1">
      <c r="A218" s="251">
        <v>45696</v>
      </c>
      <c r="B218" s="252" t="s">
        <v>3655</v>
      </c>
      <c r="C218" s="258" t="s">
        <v>176</v>
      </c>
      <c r="D218" s="253" t="s">
        <v>442</v>
      </c>
      <c r="E218" s="254">
        <v>70000</v>
      </c>
      <c r="F218" s="254">
        <v>117.41164354495943</v>
      </c>
      <c r="G218" s="255">
        <v>579.25099999999998</v>
      </c>
      <c r="H218" s="256" t="s">
        <v>322</v>
      </c>
      <c r="I218" s="256" t="s">
        <v>684</v>
      </c>
      <c r="J218" s="256" t="s">
        <v>97</v>
      </c>
      <c r="K218" s="260" t="s">
        <v>201</v>
      </c>
      <c r="L218" s="256" t="s">
        <v>2086</v>
      </c>
      <c r="M218" s="252"/>
      <c r="N218" s="252"/>
      <c r="O218" s="252"/>
    </row>
    <row r="219" spans="1:15" hidden="1">
      <c r="A219" s="251">
        <v>45696</v>
      </c>
      <c r="B219" s="252" t="s">
        <v>3656</v>
      </c>
      <c r="C219" s="258" t="s">
        <v>173</v>
      </c>
      <c r="D219" s="253" t="s">
        <v>442</v>
      </c>
      <c r="E219" s="254">
        <v>4000</v>
      </c>
      <c r="F219" s="254">
        <v>6.7092367739976817</v>
      </c>
      <c r="G219" s="255">
        <v>579.25099999999998</v>
      </c>
      <c r="H219" s="256" t="s">
        <v>322</v>
      </c>
      <c r="I219" s="256" t="s">
        <v>685</v>
      </c>
      <c r="J219" s="256" t="s">
        <v>97</v>
      </c>
      <c r="K219" s="260" t="s">
        <v>201</v>
      </c>
      <c r="L219" s="256" t="s">
        <v>2086</v>
      </c>
      <c r="M219" s="252"/>
      <c r="N219" s="252"/>
      <c r="O219" s="252"/>
    </row>
    <row r="220" spans="1:15" hidden="1">
      <c r="A220" s="251">
        <v>45697</v>
      </c>
      <c r="B220" s="252" t="s">
        <v>3762</v>
      </c>
      <c r="C220" s="258" t="s">
        <v>176</v>
      </c>
      <c r="D220" s="253" t="s">
        <v>442</v>
      </c>
      <c r="E220" s="254">
        <v>30000</v>
      </c>
      <c r="F220" s="254">
        <v>50.319275804982617</v>
      </c>
      <c r="G220" s="255">
        <v>579.25099999999998</v>
      </c>
      <c r="H220" s="256" t="s">
        <v>183</v>
      </c>
      <c r="I220" s="256" t="s">
        <v>656</v>
      </c>
      <c r="J220" s="256" t="s">
        <v>97</v>
      </c>
      <c r="K220" s="260" t="s">
        <v>201</v>
      </c>
      <c r="L220" s="256" t="s">
        <v>2086</v>
      </c>
      <c r="M220" s="252"/>
      <c r="N220" s="252"/>
      <c r="O220" s="252"/>
    </row>
    <row r="221" spans="1:15" hidden="1">
      <c r="A221" s="251">
        <v>45697</v>
      </c>
      <c r="B221" s="252" t="s">
        <v>3759</v>
      </c>
      <c r="C221" s="258" t="s">
        <v>173</v>
      </c>
      <c r="D221" s="253" t="s">
        <v>442</v>
      </c>
      <c r="E221" s="254">
        <v>5000</v>
      </c>
      <c r="F221" s="254">
        <v>8.3865459674971028</v>
      </c>
      <c r="G221" s="255">
        <v>579.25099999999998</v>
      </c>
      <c r="H221" s="256" t="s">
        <v>183</v>
      </c>
      <c r="I221" s="256" t="s">
        <v>657</v>
      </c>
      <c r="J221" s="256" t="s">
        <v>97</v>
      </c>
      <c r="K221" s="260" t="s">
        <v>201</v>
      </c>
      <c r="L221" s="256" t="s">
        <v>2086</v>
      </c>
      <c r="M221" s="252"/>
      <c r="N221" s="252"/>
      <c r="O221" s="252"/>
    </row>
    <row r="222" spans="1:15" hidden="1">
      <c r="A222" s="251">
        <v>45697</v>
      </c>
      <c r="B222" s="252" t="s">
        <v>658</v>
      </c>
      <c r="C222" s="258" t="s">
        <v>365</v>
      </c>
      <c r="D222" s="253" t="s">
        <v>442</v>
      </c>
      <c r="E222" s="254">
        <v>39500</v>
      </c>
      <c r="F222" s="254">
        <v>66.253713143227117</v>
      </c>
      <c r="G222" s="255">
        <v>579.25099999999998</v>
      </c>
      <c r="H222" s="256" t="s">
        <v>183</v>
      </c>
      <c r="I222" s="256" t="s">
        <v>659</v>
      </c>
      <c r="J222" s="256" t="s">
        <v>97</v>
      </c>
      <c r="K222" s="260" t="s">
        <v>201</v>
      </c>
      <c r="L222" s="256" t="s">
        <v>2086</v>
      </c>
      <c r="M222" s="252"/>
      <c r="N222" s="252"/>
      <c r="O222" s="252"/>
    </row>
    <row r="223" spans="1:15" hidden="1">
      <c r="A223" s="251">
        <v>45697</v>
      </c>
      <c r="B223" s="252" t="s">
        <v>3695</v>
      </c>
      <c r="C223" s="258" t="s">
        <v>176</v>
      </c>
      <c r="D223" s="253" t="s">
        <v>442</v>
      </c>
      <c r="E223" s="254">
        <v>30000</v>
      </c>
      <c r="F223" s="254">
        <v>50.319275804982617</v>
      </c>
      <c r="G223" s="255">
        <v>579.25099999999998</v>
      </c>
      <c r="H223" s="256" t="s">
        <v>316</v>
      </c>
      <c r="I223" s="256" t="s">
        <v>745</v>
      </c>
      <c r="J223" s="256" t="s">
        <v>97</v>
      </c>
      <c r="K223" s="260" t="s">
        <v>201</v>
      </c>
      <c r="L223" s="256" t="s">
        <v>2086</v>
      </c>
      <c r="M223" s="252"/>
      <c r="N223" s="252"/>
      <c r="O223" s="252"/>
    </row>
    <row r="224" spans="1:15" hidden="1">
      <c r="A224" s="251">
        <v>45697</v>
      </c>
      <c r="B224" s="252" t="s">
        <v>3689</v>
      </c>
      <c r="C224" s="258" t="s">
        <v>173</v>
      </c>
      <c r="D224" s="253" t="s">
        <v>442</v>
      </c>
      <c r="E224" s="254">
        <v>3000</v>
      </c>
      <c r="F224" s="254">
        <v>5.0319275804982615</v>
      </c>
      <c r="G224" s="255">
        <v>579.25099999999998</v>
      </c>
      <c r="H224" s="256" t="s">
        <v>316</v>
      </c>
      <c r="I224" s="256" t="s">
        <v>746</v>
      </c>
      <c r="J224" s="256" t="s">
        <v>97</v>
      </c>
      <c r="K224" s="260" t="s">
        <v>201</v>
      </c>
      <c r="L224" s="256" t="s">
        <v>2086</v>
      </c>
      <c r="M224" s="252"/>
      <c r="N224" s="252"/>
      <c r="O224" s="252"/>
    </row>
    <row r="225" spans="1:15" hidden="1">
      <c r="A225" s="251">
        <v>45698</v>
      </c>
      <c r="B225" s="252" t="s">
        <v>3756</v>
      </c>
      <c r="C225" s="258" t="s">
        <v>176</v>
      </c>
      <c r="D225" s="253" t="s">
        <v>442</v>
      </c>
      <c r="E225" s="254">
        <v>15000</v>
      </c>
      <c r="F225" s="254">
        <v>25.159637902491308</v>
      </c>
      <c r="G225" s="255">
        <v>579.25099999999998</v>
      </c>
      <c r="H225" s="256" t="s">
        <v>183</v>
      </c>
      <c r="I225" s="256" t="s">
        <v>660</v>
      </c>
      <c r="J225" s="256" t="s">
        <v>97</v>
      </c>
      <c r="K225" s="260" t="s">
        <v>201</v>
      </c>
      <c r="L225" s="256" t="s">
        <v>2086</v>
      </c>
      <c r="M225" s="252"/>
      <c r="N225" s="252"/>
      <c r="O225" s="252"/>
    </row>
    <row r="226" spans="1:15" hidden="1">
      <c r="A226" s="251">
        <v>45698</v>
      </c>
      <c r="B226" s="252" t="s">
        <v>3759</v>
      </c>
      <c r="C226" s="258" t="s">
        <v>173</v>
      </c>
      <c r="D226" s="253" t="s">
        <v>442</v>
      </c>
      <c r="E226" s="254">
        <v>5000</v>
      </c>
      <c r="F226" s="254">
        <v>8.3865459674971028</v>
      </c>
      <c r="G226" s="255">
        <v>579.25099999999998</v>
      </c>
      <c r="H226" s="256" t="s">
        <v>183</v>
      </c>
      <c r="I226" s="256" t="s">
        <v>661</v>
      </c>
      <c r="J226" s="256" t="s">
        <v>97</v>
      </c>
      <c r="K226" s="260" t="s">
        <v>201</v>
      </c>
      <c r="L226" s="256" t="s">
        <v>2086</v>
      </c>
      <c r="M226" s="252"/>
      <c r="N226" s="252"/>
      <c r="O226" s="252"/>
    </row>
    <row r="227" spans="1:15" hidden="1">
      <c r="A227" s="251">
        <v>45698</v>
      </c>
      <c r="B227" s="252" t="s">
        <v>3867</v>
      </c>
      <c r="C227" s="258" t="s">
        <v>176</v>
      </c>
      <c r="D227" s="253" t="s">
        <v>442</v>
      </c>
      <c r="E227" s="254">
        <v>60000</v>
      </c>
      <c r="F227" s="254">
        <v>100.63855160996523</v>
      </c>
      <c r="G227" s="255">
        <v>579.25099999999998</v>
      </c>
      <c r="H227" s="256" t="s">
        <v>174</v>
      </c>
      <c r="I227" s="256" t="s">
        <v>674</v>
      </c>
      <c r="J227" s="256" t="s">
        <v>97</v>
      </c>
      <c r="K227" s="260" t="s">
        <v>201</v>
      </c>
      <c r="L227" s="256" t="s">
        <v>2086</v>
      </c>
      <c r="M227" s="252"/>
      <c r="N227" s="252"/>
      <c r="O227" s="252"/>
    </row>
    <row r="228" spans="1:15" hidden="1">
      <c r="A228" s="251">
        <v>45698</v>
      </c>
      <c r="B228" s="252" t="s">
        <v>3877</v>
      </c>
      <c r="C228" s="258" t="s">
        <v>173</v>
      </c>
      <c r="D228" s="253" t="s">
        <v>442</v>
      </c>
      <c r="E228" s="254">
        <v>3000</v>
      </c>
      <c r="F228" s="254">
        <v>5.0319275804982615</v>
      </c>
      <c r="G228" s="255">
        <v>579.25099999999998</v>
      </c>
      <c r="H228" s="256" t="s">
        <v>174</v>
      </c>
      <c r="I228" s="256" t="s">
        <v>675</v>
      </c>
      <c r="J228" s="256" t="s">
        <v>97</v>
      </c>
      <c r="K228" s="260" t="s">
        <v>201</v>
      </c>
      <c r="L228" s="256" t="s">
        <v>2086</v>
      </c>
      <c r="M228" s="252"/>
      <c r="N228" s="252"/>
      <c r="O228" s="252"/>
    </row>
    <row r="229" spans="1:15" hidden="1">
      <c r="A229" s="251">
        <v>45698</v>
      </c>
      <c r="B229" s="252" t="s">
        <v>554</v>
      </c>
      <c r="C229" s="259" t="s">
        <v>2087</v>
      </c>
      <c r="D229" s="252" t="s">
        <v>117</v>
      </c>
      <c r="E229" s="254">
        <v>4110</v>
      </c>
      <c r="F229" s="254">
        <v>6.8937407852826187</v>
      </c>
      <c r="G229" s="255">
        <v>579.25099999999998</v>
      </c>
      <c r="H229" s="256" t="s">
        <v>192</v>
      </c>
      <c r="I229" s="256" t="s">
        <v>555</v>
      </c>
      <c r="J229" s="256" t="s">
        <v>97</v>
      </c>
      <c r="K229" s="260" t="s">
        <v>201</v>
      </c>
      <c r="L229" s="256" t="s">
        <v>2086</v>
      </c>
      <c r="M229" s="252"/>
      <c r="N229" s="252"/>
      <c r="O229" s="252"/>
    </row>
    <row r="230" spans="1:15" hidden="1">
      <c r="A230" s="251">
        <v>45699</v>
      </c>
      <c r="B230" s="252" t="s">
        <v>558</v>
      </c>
      <c r="C230" s="252" t="s">
        <v>126</v>
      </c>
      <c r="D230" s="252" t="s">
        <v>117</v>
      </c>
      <c r="E230" s="254">
        <v>94430</v>
      </c>
      <c r="F230" s="254">
        <v>158.38830714215027</v>
      </c>
      <c r="G230" s="255">
        <v>579.25099999999998</v>
      </c>
      <c r="H230" s="256" t="s">
        <v>156</v>
      </c>
      <c r="I230" s="256" t="s">
        <v>559</v>
      </c>
      <c r="J230" s="256" t="s">
        <v>97</v>
      </c>
      <c r="K230" s="260" t="s">
        <v>201</v>
      </c>
      <c r="L230" s="256" t="s">
        <v>2086</v>
      </c>
      <c r="M230" s="252"/>
      <c r="N230" s="252"/>
      <c r="O230" s="252"/>
    </row>
    <row r="231" spans="1:15" hidden="1">
      <c r="A231" s="251">
        <v>45699</v>
      </c>
      <c r="B231" s="252" t="s">
        <v>560</v>
      </c>
      <c r="C231" s="252" t="s">
        <v>126</v>
      </c>
      <c r="D231" s="253" t="s">
        <v>116</v>
      </c>
      <c r="E231" s="254">
        <v>30000</v>
      </c>
      <c r="F231" s="254">
        <v>50.319275804982617</v>
      </c>
      <c r="G231" s="255">
        <v>579.25099999999998</v>
      </c>
      <c r="H231" s="256" t="s">
        <v>156</v>
      </c>
      <c r="I231" s="256" t="s">
        <v>561</v>
      </c>
      <c r="J231" s="256" t="s">
        <v>97</v>
      </c>
      <c r="K231" s="260" t="s">
        <v>201</v>
      </c>
      <c r="L231" s="256" t="s">
        <v>2086</v>
      </c>
      <c r="M231" s="252"/>
      <c r="N231" s="252"/>
      <c r="O231" s="252"/>
    </row>
    <row r="232" spans="1:15" hidden="1">
      <c r="A232" s="251">
        <v>45699</v>
      </c>
      <c r="B232" s="252" t="s">
        <v>562</v>
      </c>
      <c r="C232" s="252" t="s">
        <v>126</v>
      </c>
      <c r="D232" s="253" t="s">
        <v>116</v>
      </c>
      <c r="E232" s="254">
        <v>30000</v>
      </c>
      <c r="F232" s="254">
        <v>50.319275804982617</v>
      </c>
      <c r="G232" s="255">
        <v>579.25099999999998</v>
      </c>
      <c r="H232" s="256" t="s">
        <v>156</v>
      </c>
      <c r="I232" s="256" t="s">
        <v>563</v>
      </c>
      <c r="J232" s="256" t="s">
        <v>97</v>
      </c>
      <c r="K232" s="260" t="s">
        <v>201</v>
      </c>
      <c r="L232" s="256" t="s">
        <v>2086</v>
      </c>
      <c r="M232" s="252"/>
      <c r="N232" s="252"/>
      <c r="O232" s="252"/>
    </row>
    <row r="233" spans="1:15" hidden="1">
      <c r="A233" s="251">
        <v>45699</v>
      </c>
      <c r="B233" s="252" t="s">
        <v>564</v>
      </c>
      <c r="C233" s="252" t="s">
        <v>126</v>
      </c>
      <c r="D233" s="253" t="s">
        <v>116</v>
      </c>
      <c r="E233" s="254">
        <v>30000</v>
      </c>
      <c r="F233" s="254">
        <v>50.319275804982617</v>
      </c>
      <c r="G233" s="255">
        <v>579.25099999999998</v>
      </c>
      <c r="H233" s="256" t="s">
        <v>156</v>
      </c>
      <c r="I233" s="256" t="s">
        <v>565</v>
      </c>
      <c r="J233" s="256" t="s">
        <v>97</v>
      </c>
      <c r="K233" s="260" t="s">
        <v>201</v>
      </c>
      <c r="L233" s="256" t="s">
        <v>2086</v>
      </c>
      <c r="M233" s="252"/>
      <c r="N233" s="252"/>
      <c r="O233" s="252"/>
    </row>
    <row r="234" spans="1:15" hidden="1">
      <c r="A234" s="251">
        <v>45699</v>
      </c>
      <c r="B234" s="252" t="s">
        <v>566</v>
      </c>
      <c r="C234" s="252" t="s">
        <v>126</v>
      </c>
      <c r="D234" s="253" t="s">
        <v>116</v>
      </c>
      <c r="E234" s="254">
        <v>30000</v>
      </c>
      <c r="F234" s="254">
        <v>50.319275804982617</v>
      </c>
      <c r="G234" s="255">
        <v>579.25099999999998</v>
      </c>
      <c r="H234" s="256" t="s">
        <v>156</v>
      </c>
      <c r="I234" s="256" t="s">
        <v>567</v>
      </c>
      <c r="J234" s="256" t="s">
        <v>97</v>
      </c>
      <c r="K234" s="260" t="s">
        <v>201</v>
      </c>
      <c r="L234" s="256" t="s">
        <v>2086</v>
      </c>
      <c r="M234" s="252"/>
      <c r="N234" s="252"/>
      <c r="O234" s="252"/>
    </row>
    <row r="235" spans="1:15" hidden="1">
      <c r="A235" s="251">
        <v>45699</v>
      </c>
      <c r="B235" s="252" t="s">
        <v>568</v>
      </c>
      <c r="C235" s="252" t="s">
        <v>126</v>
      </c>
      <c r="D235" s="252" t="s">
        <v>119</v>
      </c>
      <c r="E235" s="254">
        <v>30000</v>
      </c>
      <c r="F235" s="254">
        <v>50.319275804982617</v>
      </c>
      <c r="G235" s="255">
        <v>579.25099999999998</v>
      </c>
      <c r="H235" s="256" t="s">
        <v>156</v>
      </c>
      <c r="I235" s="256" t="s">
        <v>569</v>
      </c>
      <c r="J235" s="256" t="s">
        <v>97</v>
      </c>
      <c r="K235" s="260" t="s">
        <v>201</v>
      </c>
      <c r="L235" s="256" t="s">
        <v>2086</v>
      </c>
      <c r="M235" s="252"/>
      <c r="N235" s="252"/>
      <c r="O235" s="252"/>
    </row>
    <row r="236" spans="1:15" hidden="1">
      <c r="A236" s="251">
        <v>45699</v>
      </c>
      <c r="B236" s="252" t="s">
        <v>570</v>
      </c>
      <c r="C236" s="252" t="s">
        <v>264</v>
      </c>
      <c r="D236" s="252" t="s">
        <v>2088</v>
      </c>
      <c r="E236" s="254">
        <v>35000</v>
      </c>
      <c r="F236" s="254">
        <v>58.705821772479716</v>
      </c>
      <c r="G236" s="255">
        <v>579.25099999999998</v>
      </c>
      <c r="H236" s="256" t="s">
        <v>156</v>
      </c>
      <c r="I236" s="256" t="s">
        <v>571</v>
      </c>
      <c r="J236" s="256" t="s">
        <v>97</v>
      </c>
      <c r="K236" s="260" t="s">
        <v>201</v>
      </c>
      <c r="L236" s="256" t="s">
        <v>2086</v>
      </c>
      <c r="M236" s="252"/>
      <c r="N236" s="252"/>
      <c r="O236" s="252"/>
    </row>
    <row r="237" spans="1:15" hidden="1">
      <c r="A237" s="251">
        <v>45699</v>
      </c>
      <c r="B237" s="252" t="s">
        <v>572</v>
      </c>
      <c r="C237" s="252" t="s">
        <v>264</v>
      </c>
      <c r="D237" s="252" t="s">
        <v>2088</v>
      </c>
      <c r="E237" s="254">
        <v>30000</v>
      </c>
      <c r="F237" s="254">
        <v>50.319275804982617</v>
      </c>
      <c r="G237" s="255">
        <v>579.25099999999998</v>
      </c>
      <c r="H237" s="256" t="s">
        <v>156</v>
      </c>
      <c r="I237" s="256" t="s">
        <v>573</v>
      </c>
      <c r="J237" s="256" t="s">
        <v>97</v>
      </c>
      <c r="K237" s="260" t="s">
        <v>201</v>
      </c>
      <c r="L237" s="256" t="s">
        <v>2086</v>
      </c>
      <c r="M237" s="252"/>
      <c r="N237" s="252"/>
      <c r="O237" s="252"/>
    </row>
    <row r="238" spans="1:15" hidden="1">
      <c r="A238" s="251">
        <v>45699</v>
      </c>
      <c r="B238" s="252" t="s">
        <v>574</v>
      </c>
      <c r="C238" s="252" t="s">
        <v>264</v>
      </c>
      <c r="D238" s="252" t="s">
        <v>2088</v>
      </c>
      <c r="E238" s="254">
        <v>30000</v>
      </c>
      <c r="F238" s="254">
        <v>50.319275804982617</v>
      </c>
      <c r="G238" s="255">
        <v>579.25099999999998</v>
      </c>
      <c r="H238" s="256" t="s">
        <v>156</v>
      </c>
      <c r="I238" s="256" t="s">
        <v>575</v>
      </c>
      <c r="J238" s="256" t="s">
        <v>97</v>
      </c>
      <c r="K238" s="260" t="s">
        <v>201</v>
      </c>
      <c r="L238" s="256" t="s">
        <v>2086</v>
      </c>
      <c r="M238" s="252"/>
      <c r="N238" s="252"/>
      <c r="O238" s="252"/>
    </row>
    <row r="239" spans="1:15" hidden="1">
      <c r="A239" s="251">
        <v>45699</v>
      </c>
      <c r="B239" s="252" t="s">
        <v>576</v>
      </c>
      <c r="C239" s="252" t="s">
        <v>264</v>
      </c>
      <c r="D239" s="252" t="s">
        <v>2088</v>
      </c>
      <c r="E239" s="254">
        <v>30000</v>
      </c>
      <c r="F239" s="254">
        <v>50.319275804982617</v>
      </c>
      <c r="G239" s="255">
        <v>579.25099999999998</v>
      </c>
      <c r="H239" s="256" t="s">
        <v>156</v>
      </c>
      <c r="I239" s="256" t="s">
        <v>577</v>
      </c>
      <c r="J239" s="256" t="s">
        <v>97</v>
      </c>
      <c r="K239" s="260" t="s">
        <v>201</v>
      </c>
      <c r="L239" s="256" t="s">
        <v>2086</v>
      </c>
      <c r="M239" s="252"/>
      <c r="N239" s="252"/>
      <c r="O239" s="252"/>
    </row>
    <row r="240" spans="1:15" hidden="1">
      <c r="A240" s="251">
        <v>45699</v>
      </c>
      <c r="B240" s="252" t="s">
        <v>3657</v>
      </c>
      <c r="C240" s="258" t="s">
        <v>176</v>
      </c>
      <c r="D240" s="253" t="s">
        <v>442</v>
      </c>
      <c r="E240" s="254">
        <v>45000</v>
      </c>
      <c r="F240" s="254">
        <v>75.478913707473922</v>
      </c>
      <c r="G240" s="255">
        <v>579.25099999999998</v>
      </c>
      <c r="H240" s="256" t="s">
        <v>322</v>
      </c>
      <c r="I240" s="256" t="s">
        <v>686</v>
      </c>
      <c r="J240" s="256" t="s">
        <v>97</v>
      </c>
      <c r="K240" s="260" t="s">
        <v>201</v>
      </c>
      <c r="L240" s="256" t="s">
        <v>2086</v>
      </c>
      <c r="M240" s="252"/>
      <c r="N240" s="252"/>
      <c r="O240" s="252"/>
    </row>
    <row r="241" spans="1:15" hidden="1">
      <c r="A241" s="251">
        <v>45699</v>
      </c>
      <c r="B241" s="252" t="s">
        <v>3658</v>
      </c>
      <c r="C241" s="258" t="s">
        <v>173</v>
      </c>
      <c r="D241" s="253" t="s">
        <v>442</v>
      </c>
      <c r="E241" s="254">
        <v>4000</v>
      </c>
      <c r="F241" s="254">
        <v>6.7092367739976817</v>
      </c>
      <c r="G241" s="255">
        <v>579.25099999999998</v>
      </c>
      <c r="H241" s="256" t="s">
        <v>322</v>
      </c>
      <c r="I241" s="256" t="s">
        <v>687</v>
      </c>
      <c r="J241" s="256" t="s">
        <v>97</v>
      </c>
      <c r="K241" s="260" t="s">
        <v>201</v>
      </c>
      <c r="L241" s="256" t="s">
        <v>2086</v>
      </c>
      <c r="M241" s="252"/>
      <c r="N241" s="252"/>
      <c r="O241" s="252"/>
    </row>
    <row r="242" spans="1:15" hidden="1">
      <c r="A242" s="251">
        <v>45699</v>
      </c>
      <c r="B242" s="252" t="s">
        <v>3659</v>
      </c>
      <c r="C242" s="258" t="s">
        <v>173</v>
      </c>
      <c r="D242" s="253" t="s">
        <v>442</v>
      </c>
      <c r="E242" s="254">
        <v>3000</v>
      </c>
      <c r="F242" s="254">
        <v>4.8874119492008914</v>
      </c>
      <c r="G242" s="255">
        <v>613.82180000000005</v>
      </c>
      <c r="H242" s="256" t="s">
        <v>322</v>
      </c>
      <c r="I242" s="256" t="s">
        <v>688</v>
      </c>
      <c r="J242" s="256" t="s">
        <v>97</v>
      </c>
      <c r="K242" s="256" t="s">
        <v>439</v>
      </c>
      <c r="L242" s="256" t="s">
        <v>2086</v>
      </c>
      <c r="M242" s="252"/>
      <c r="N242" s="252"/>
      <c r="O242" s="252"/>
    </row>
    <row r="243" spans="1:15" hidden="1">
      <c r="A243" s="251">
        <v>45699</v>
      </c>
      <c r="B243" s="252" t="s">
        <v>505</v>
      </c>
      <c r="C243" s="258" t="s">
        <v>173</v>
      </c>
      <c r="D243" s="253" t="s">
        <v>116</v>
      </c>
      <c r="E243" s="254">
        <v>7000</v>
      </c>
      <c r="F243" s="254">
        <v>11.403961214802081</v>
      </c>
      <c r="G243" s="255">
        <v>613.82180000000005</v>
      </c>
      <c r="H243" s="256" t="s">
        <v>189</v>
      </c>
      <c r="I243" s="256" t="s">
        <v>506</v>
      </c>
      <c r="J243" s="256" t="s">
        <v>97</v>
      </c>
      <c r="K243" s="256" t="s">
        <v>439</v>
      </c>
      <c r="L243" s="256" t="s">
        <v>2086</v>
      </c>
      <c r="M243" s="252"/>
      <c r="N243" s="252"/>
      <c r="O243" s="252"/>
    </row>
    <row r="244" spans="1:15" hidden="1">
      <c r="A244" s="251">
        <v>45699</v>
      </c>
      <c r="B244" s="252" t="s">
        <v>507</v>
      </c>
      <c r="C244" s="252" t="s">
        <v>255</v>
      </c>
      <c r="D244" s="253" t="s">
        <v>116</v>
      </c>
      <c r="E244" s="254">
        <v>70000</v>
      </c>
      <c r="F244" s="254">
        <v>117.41164354495943</v>
      </c>
      <c r="G244" s="255">
        <v>579.25099999999998</v>
      </c>
      <c r="H244" s="256" t="s">
        <v>189</v>
      </c>
      <c r="I244" s="256" t="s">
        <v>508</v>
      </c>
      <c r="J244" s="256" t="s">
        <v>97</v>
      </c>
      <c r="K244" s="260" t="s">
        <v>201</v>
      </c>
      <c r="L244" s="256" t="s">
        <v>2086</v>
      </c>
      <c r="M244" s="252"/>
      <c r="N244" s="252"/>
      <c r="O244" s="252"/>
    </row>
    <row r="245" spans="1:15" hidden="1">
      <c r="A245" s="251">
        <v>45699</v>
      </c>
      <c r="B245" s="252" t="s">
        <v>481</v>
      </c>
      <c r="C245" s="252" t="s">
        <v>255</v>
      </c>
      <c r="D245" s="253" t="s">
        <v>116</v>
      </c>
      <c r="E245" s="254">
        <v>200000</v>
      </c>
      <c r="F245" s="254">
        <v>335.46183869988408</v>
      </c>
      <c r="G245" s="255">
        <v>579.25099999999998</v>
      </c>
      <c r="H245" s="256" t="s">
        <v>147</v>
      </c>
      <c r="I245" s="256" t="s">
        <v>482</v>
      </c>
      <c r="J245" s="256" t="s">
        <v>97</v>
      </c>
      <c r="K245" s="260" t="s">
        <v>201</v>
      </c>
      <c r="L245" s="256" t="s">
        <v>2086</v>
      </c>
      <c r="M245" s="252"/>
      <c r="N245" s="252"/>
      <c r="O245" s="252"/>
    </row>
    <row r="246" spans="1:15" hidden="1">
      <c r="A246" s="251">
        <v>45699</v>
      </c>
      <c r="B246" s="252" t="s">
        <v>556</v>
      </c>
      <c r="C246" s="259" t="s">
        <v>2087</v>
      </c>
      <c r="D246" s="252" t="s">
        <v>117</v>
      </c>
      <c r="E246" s="254">
        <v>6720</v>
      </c>
      <c r="F246" s="254">
        <v>11.271517780316106</v>
      </c>
      <c r="G246" s="255">
        <v>596.19299999999998</v>
      </c>
      <c r="H246" s="256" t="s">
        <v>192</v>
      </c>
      <c r="I246" s="256" t="s">
        <v>557</v>
      </c>
      <c r="J246" s="256" t="s">
        <v>97</v>
      </c>
      <c r="K246" s="256" t="s">
        <v>1902</v>
      </c>
      <c r="L246" s="256" t="s">
        <v>2086</v>
      </c>
      <c r="M246" s="252"/>
      <c r="N246" s="252"/>
      <c r="O246" s="252"/>
    </row>
    <row r="247" spans="1:15" hidden="1">
      <c r="A247" s="251">
        <v>45700</v>
      </c>
      <c r="B247" s="252" t="s">
        <v>3696</v>
      </c>
      <c r="C247" s="258" t="s">
        <v>176</v>
      </c>
      <c r="D247" s="253" t="s">
        <v>442</v>
      </c>
      <c r="E247" s="254">
        <v>45000</v>
      </c>
      <c r="F247" s="254">
        <v>75.478913707473922</v>
      </c>
      <c r="G247" s="255">
        <v>596.19299999999998</v>
      </c>
      <c r="H247" s="256" t="s">
        <v>316</v>
      </c>
      <c r="I247" s="256" t="s">
        <v>747</v>
      </c>
      <c r="J247" s="256" t="s">
        <v>97</v>
      </c>
      <c r="K247" s="256" t="s">
        <v>1902</v>
      </c>
      <c r="L247" s="256" t="s">
        <v>2086</v>
      </c>
      <c r="M247" s="252"/>
      <c r="N247" s="252"/>
      <c r="O247" s="252"/>
    </row>
    <row r="248" spans="1:15" hidden="1">
      <c r="A248" s="251">
        <v>45700</v>
      </c>
      <c r="B248" s="252" t="s">
        <v>3689</v>
      </c>
      <c r="C248" s="258" t="s">
        <v>173</v>
      </c>
      <c r="D248" s="253" t="s">
        <v>442</v>
      </c>
      <c r="E248" s="254">
        <v>7000</v>
      </c>
      <c r="F248" s="254">
        <v>11.741164354495943</v>
      </c>
      <c r="G248" s="255">
        <v>596.19299999999998</v>
      </c>
      <c r="H248" s="256" t="s">
        <v>316</v>
      </c>
      <c r="I248" s="256" t="s">
        <v>747</v>
      </c>
      <c r="J248" s="256" t="s">
        <v>97</v>
      </c>
      <c r="K248" s="256" t="s">
        <v>1902</v>
      </c>
      <c r="L248" s="256" t="s">
        <v>2086</v>
      </c>
      <c r="M248" s="252"/>
      <c r="N248" s="252"/>
      <c r="O248" s="252"/>
    </row>
    <row r="249" spans="1:15" hidden="1">
      <c r="A249" s="251">
        <v>45700</v>
      </c>
      <c r="B249" s="252" t="s">
        <v>2090</v>
      </c>
      <c r="C249" s="258" t="s">
        <v>176</v>
      </c>
      <c r="D249" s="253" t="s">
        <v>116</v>
      </c>
      <c r="E249" s="254">
        <v>170000</v>
      </c>
      <c r="F249" s="254">
        <v>285.14256289490152</v>
      </c>
      <c r="G249" s="255">
        <v>596.19299999999998</v>
      </c>
      <c r="H249" s="256" t="s">
        <v>189</v>
      </c>
      <c r="I249" s="256" t="s">
        <v>509</v>
      </c>
      <c r="J249" s="256" t="s">
        <v>97</v>
      </c>
      <c r="K249" s="256" t="s">
        <v>1902</v>
      </c>
      <c r="L249" s="256" t="s">
        <v>2086</v>
      </c>
      <c r="M249" s="252"/>
      <c r="N249" s="252"/>
      <c r="O249" s="252"/>
    </row>
    <row r="250" spans="1:15" hidden="1">
      <c r="A250" s="251">
        <v>45700</v>
      </c>
      <c r="B250" s="252" t="s">
        <v>717</v>
      </c>
      <c r="C250" s="258" t="s">
        <v>173</v>
      </c>
      <c r="D250" s="253" t="s">
        <v>116</v>
      </c>
      <c r="E250" s="254">
        <v>8000</v>
      </c>
      <c r="F250" s="254">
        <v>13.418473547995363</v>
      </c>
      <c r="G250" s="255">
        <v>596.19299999999998</v>
      </c>
      <c r="H250" s="256" t="s">
        <v>192</v>
      </c>
      <c r="I250" s="256" t="s">
        <v>718</v>
      </c>
      <c r="J250" s="256" t="s">
        <v>97</v>
      </c>
      <c r="K250" s="256" t="s">
        <v>1902</v>
      </c>
      <c r="L250" s="256" t="s">
        <v>2086</v>
      </c>
      <c r="M250" s="252"/>
      <c r="N250" s="252"/>
      <c r="O250" s="252"/>
    </row>
    <row r="251" spans="1:15" hidden="1">
      <c r="A251" s="251">
        <v>45700</v>
      </c>
      <c r="B251" s="252" t="s">
        <v>191</v>
      </c>
      <c r="C251" s="259" t="s">
        <v>2087</v>
      </c>
      <c r="D251" s="252" t="s">
        <v>117</v>
      </c>
      <c r="E251" s="254">
        <v>1980</v>
      </c>
      <c r="F251" s="254">
        <v>3.3210722031288529</v>
      </c>
      <c r="G251" s="255">
        <v>596.19299999999998</v>
      </c>
      <c r="H251" s="256" t="s">
        <v>192</v>
      </c>
      <c r="I251" s="256" t="s">
        <v>578</v>
      </c>
      <c r="J251" s="256" t="s">
        <v>97</v>
      </c>
      <c r="K251" s="256" t="s">
        <v>1902</v>
      </c>
      <c r="L251" s="256" t="s">
        <v>2086</v>
      </c>
      <c r="M251" s="252"/>
      <c r="N251" s="252"/>
      <c r="O251" s="252"/>
    </row>
    <row r="252" spans="1:15" hidden="1">
      <c r="A252" s="251">
        <v>45700</v>
      </c>
      <c r="B252" s="252" t="s">
        <v>579</v>
      </c>
      <c r="C252" s="252" t="s">
        <v>255</v>
      </c>
      <c r="D252" s="253" t="s">
        <v>116</v>
      </c>
      <c r="E252" s="254">
        <v>80000</v>
      </c>
      <c r="F252" s="254">
        <v>134.18473547995364</v>
      </c>
      <c r="G252" s="255">
        <v>596.19299999999998</v>
      </c>
      <c r="H252" s="256" t="s">
        <v>192</v>
      </c>
      <c r="I252" s="256" t="s">
        <v>580</v>
      </c>
      <c r="J252" s="256" t="s">
        <v>97</v>
      </c>
      <c r="K252" s="256" t="s">
        <v>1902</v>
      </c>
      <c r="L252" s="256" t="s">
        <v>2086</v>
      </c>
      <c r="M252" s="252"/>
      <c r="N252" s="252"/>
      <c r="O252" s="252"/>
    </row>
    <row r="253" spans="1:15" hidden="1">
      <c r="A253" s="251">
        <v>45701</v>
      </c>
      <c r="B253" s="252" t="s">
        <v>769</v>
      </c>
      <c r="C253" s="252" t="s">
        <v>126</v>
      </c>
      <c r="D253" s="253" t="s">
        <v>118</v>
      </c>
      <c r="E253" s="254">
        <v>129464</v>
      </c>
      <c r="F253" s="254">
        <v>217.15115742720897</v>
      </c>
      <c r="G253" s="255">
        <v>596.19299999999998</v>
      </c>
      <c r="H253" s="256" t="s">
        <v>156</v>
      </c>
      <c r="I253" s="256" t="s">
        <v>581</v>
      </c>
      <c r="J253" s="256" t="s">
        <v>97</v>
      </c>
      <c r="K253" s="256" t="s">
        <v>1902</v>
      </c>
      <c r="L253" s="256" t="s">
        <v>2086</v>
      </c>
      <c r="M253" s="252"/>
      <c r="N253" s="252"/>
      <c r="O253" s="252"/>
    </row>
    <row r="254" spans="1:15" hidden="1">
      <c r="A254" s="251">
        <v>45701</v>
      </c>
      <c r="B254" s="252" t="s">
        <v>774</v>
      </c>
      <c r="C254" s="252" t="s">
        <v>126</v>
      </c>
      <c r="D254" s="253" t="s">
        <v>118</v>
      </c>
      <c r="E254" s="254">
        <v>80500</v>
      </c>
      <c r="F254" s="254">
        <v>135.02339007670335</v>
      </c>
      <c r="G254" s="255">
        <v>596.19299999999998</v>
      </c>
      <c r="H254" s="256" t="s">
        <v>156</v>
      </c>
      <c r="I254" s="256" t="s">
        <v>582</v>
      </c>
      <c r="J254" s="256" t="s">
        <v>97</v>
      </c>
      <c r="K254" s="256" t="s">
        <v>1902</v>
      </c>
      <c r="L254" s="256" t="s">
        <v>2086</v>
      </c>
      <c r="M254" s="252"/>
      <c r="N254" s="252"/>
      <c r="O254" s="252"/>
    </row>
    <row r="255" spans="1:15" hidden="1">
      <c r="A255" s="251">
        <v>45701</v>
      </c>
      <c r="B255" s="252" t="s">
        <v>3660</v>
      </c>
      <c r="C255" s="258" t="s">
        <v>176</v>
      </c>
      <c r="D255" s="253" t="s">
        <v>442</v>
      </c>
      <c r="E255" s="254">
        <v>30000</v>
      </c>
      <c r="F255" s="254">
        <v>50.319275804982617</v>
      </c>
      <c r="G255" s="255">
        <v>596.19299999999998</v>
      </c>
      <c r="H255" s="256" t="s">
        <v>322</v>
      </c>
      <c r="I255" s="256" t="s">
        <v>689</v>
      </c>
      <c r="J255" s="256" t="s">
        <v>97</v>
      </c>
      <c r="K255" s="256" t="s">
        <v>1902</v>
      </c>
      <c r="L255" s="256" t="s">
        <v>2086</v>
      </c>
      <c r="M255" s="252"/>
      <c r="N255" s="252"/>
      <c r="O255" s="252"/>
    </row>
    <row r="256" spans="1:15" hidden="1">
      <c r="A256" s="251">
        <v>45701</v>
      </c>
      <c r="B256" s="252" t="s">
        <v>3661</v>
      </c>
      <c r="C256" s="258" t="s">
        <v>173</v>
      </c>
      <c r="D256" s="253" t="s">
        <v>442</v>
      </c>
      <c r="E256" s="254">
        <v>3000</v>
      </c>
      <c r="F256" s="254">
        <v>5.0319275804982615</v>
      </c>
      <c r="G256" s="255">
        <v>596.19299999999998</v>
      </c>
      <c r="H256" s="256" t="s">
        <v>322</v>
      </c>
      <c r="I256" s="256" t="s">
        <v>690</v>
      </c>
      <c r="J256" s="256" t="s">
        <v>97</v>
      </c>
      <c r="K256" s="256" t="s">
        <v>1902</v>
      </c>
      <c r="L256" s="256" t="s">
        <v>2086</v>
      </c>
      <c r="M256" s="252"/>
      <c r="N256" s="252"/>
      <c r="O256" s="252"/>
    </row>
    <row r="257" spans="1:15" hidden="1">
      <c r="A257" s="251">
        <v>45701</v>
      </c>
      <c r="B257" s="252" t="s">
        <v>719</v>
      </c>
      <c r="C257" s="258" t="s">
        <v>176</v>
      </c>
      <c r="D257" s="253" t="s">
        <v>116</v>
      </c>
      <c r="E257" s="254">
        <v>20000</v>
      </c>
      <c r="F257" s="254">
        <v>32.582746328005946</v>
      </c>
      <c r="G257" s="255">
        <v>613.82180000000005</v>
      </c>
      <c r="H257" s="256" t="s">
        <v>192</v>
      </c>
      <c r="I257" s="256" t="s">
        <v>720</v>
      </c>
      <c r="J257" s="256" t="s">
        <v>97</v>
      </c>
      <c r="K257" s="256" t="s">
        <v>439</v>
      </c>
      <c r="L257" s="256" t="s">
        <v>2086</v>
      </c>
      <c r="M257" s="252"/>
      <c r="N257" s="252"/>
      <c r="O257" s="252"/>
    </row>
    <row r="258" spans="1:15" hidden="1">
      <c r="A258" s="251">
        <v>45701</v>
      </c>
      <c r="B258" s="252" t="s">
        <v>500</v>
      </c>
      <c r="C258" s="258" t="s">
        <v>2089</v>
      </c>
      <c r="D258" s="252" t="s">
        <v>119</v>
      </c>
      <c r="E258" s="254">
        <v>154000</v>
      </c>
      <c r="F258" s="254">
        <v>250.88714672564575</v>
      </c>
      <c r="G258" s="255">
        <v>613.82180000000005</v>
      </c>
      <c r="H258" s="256" t="s">
        <v>212</v>
      </c>
      <c r="I258" s="256" t="s">
        <v>501</v>
      </c>
      <c r="J258" s="256" t="s">
        <v>97</v>
      </c>
      <c r="K258" s="256" t="s">
        <v>439</v>
      </c>
      <c r="L258" s="256" t="s">
        <v>2086</v>
      </c>
      <c r="M258" s="252"/>
      <c r="N258" s="252"/>
      <c r="O258" s="252"/>
    </row>
    <row r="259" spans="1:15" hidden="1">
      <c r="A259" s="251">
        <v>45701</v>
      </c>
      <c r="B259" s="252" t="s">
        <v>483</v>
      </c>
      <c r="C259" s="258" t="s">
        <v>303</v>
      </c>
      <c r="D259" s="252" t="s">
        <v>117</v>
      </c>
      <c r="E259" s="254">
        <v>227686</v>
      </c>
      <c r="F259" s="254">
        <v>381.89982103110907</v>
      </c>
      <c r="G259" s="255">
        <v>596.19299999999998</v>
      </c>
      <c r="H259" s="256" t="s">
        <v>147</v>
      </c>
      <c r="I259" s="256" t="s">
        <v>484</v>
      </c>
      <c r="J259" s="256" t="s">
        <v>97</v>
      </c>
      <c r="K259" s="256" t="s">
        <v>1902</v>
      </c>
      <c r="L259" s="256" t="s">
        <v>2086</v>
      </c>
      <c r="M259" s="252"/>
      <c r="N259" s="252"/>
      <c r="O259" s="252"/>
    </row>
    <row r="260" spans="1:15" hidden="1">
      <c r="A260" s="251">
        <v>45701</v>
      </c>
      <c r="B260" s="252" t="s">
        <v>721</v>
      </c>
      <c r="C260" s="258" t="s">
        <v>173</v>
      </c>
      <c r="D260" s="253" t="s">
        <v>116</v>
      </c>
      <c r="E260" s="254">
        <v>4000</v>
      </c>
      <c r="F260" s="254">
        <v>6.7092367739976817</v>
      </c>
      <c r="G260" s="255">
        <v>579.25099999999998</v>
      </c>
      <c r="H260" s="256" t="s">
        <v>192</v>
      </c>
      <c r="I260" s="256" t="s">
        <v>722</v>
      </c>
      <c r="J260" s="256" t="s">
        <v>97</v>
      </c>
      <c r="K260" s="260" t="s">
        <v>201</v>
      </c>
      <c r="L260" s="256" t="s">
        <v>2086</v>
      </c>
      <c r="M260" s="252"/>
      <c r="N260" s="252"/>
      <c r="O260" s="252"/>
    </row>
    <row r="261" spans="1:15" hidden="1">
      <c r="A261" s="251">
        <v>45702</v>
      </c>
      <c r="B261" s="252" t="s">
        <v>772</v>
      </c>
      <c r="C261" s="258" t="s">
        <v>365</v>
      </c>
      <c r="D261" s="253" t="s">
        <v>442</v>
      </c>
      <c r="E261" s="254">
        <v>30000</v>
      </c>
      <c r="F261" s="254">
        <v>50.319275804982617</v>
      </c>
      <c r="G261" s="255">
        <v>596.19299999999998</v>
      </c>
      <c r="H261" s="256" t="s">
        <v>152</v>
      </c>
      <c r="I261" s="256" t="s">
        <v>634</v>
      </c>
      <c r="J261" s="256" t="s">
        <v>97</v>
      </c>
      <c r="K261" s="256" t="s">
        <v>1902</v>
      </c>
      <c r="L261" s="256" t="s">
        <v>2086</v>
      </c>
      <c r="M261" s="252"/>
      <c r="N261" s="252"/>
      <c r="O261" s="252"/>
    </row>
    <row r="262" spans="1:15" hidden="1">
      <c r="A262" s="251">
        <v>45702</v>
      </c>
      <c r="B262" s="252" t="s">
        <v>635</v>
      </c>
      <c r="C262" s="259" t="s">
        <v>2087</v>
      </c>
      <c r="D262" s="252" t="s">
        <v>117</v>
      </c>
      <c r="E262" s="254">
        <v>1952</v>
      </c>
      <c r="F262" s="254">
        <v>3.2741075457108688</v>
      </c>
      <c r="G262" s="255">
        <v>596.19299999999998</v>
      </c>
      <c r="H262" s="256" t="s">
        <v>152</v>
      </c>
      <c r="I262" s="256" t="s">
        <v>636</v>
      </c>
      <c r="J262" s="256" t="s">
        <v>97</v>
      </c>
      <c r="K262" s="256" t="s">
        <v>1902</v>
      </c>
      <c r="L262" s="256" t="s">
        <v>2086</v>
      </c>
      <c r="M262" s="252"/>
      <c r="N262" s="252"/>
      <c r="O262" s="252"/>
    </row>
    <row r="263" spans="1:15" hidden="1">
      <c r="A263" s="251">
        <v>45702</v>
      </c>
      <c r="B263" s="252" t="s">
        <v>768</v>
      </c>
      <c r="C263" s="258" t="s">
        <v>173</v>
      </c>
      <c r="D263" s="253" t="s">
        <v>118</v>
      </c>
      <c r="E263" s="254">
        <v>7000</v>
      </c>
      <c r="F263" s="254">
        <v>11.403961214802081</v>
      </c>
      <c r="G263" s="255">
        <v>613.82180000000005</v>
      </c>
      <c r="H263" s="256" t="s">
        <v>152</v>
      </c>
      <c r="I263" s="256" t="s">
        <v>637</v>
      </c>
      <c r="J263" s="256" t="s">
        <v>97</v>
      </c>
      <c r="K263" s="256" t="s">
        <v>439</v>
      </c>
      <c r="L263" s="256" t="s">
        <v>2086</v>
      </c>
      <c r="M263" s="252"/>
      <c r="N263" s="252"/>
      <c r="O263" s="252"/>
    </row>
    <row r="264" spans="1:15" hidden="1">
      <c r="A264" s="251">
        <v>45702</v>
      </c>
      <c r="B264" s="252" t="s">
        <v>198</v>
      </c>
      <c r="C264" s="258" t="s">
        <v>173</v>
      </c>
      <c r="D264" s="253" t="s">
        <v>116</v>
      </c>
      <c r="E264" s="254">
        <v>7000</v>
      </c>
      <c r="F264" s="254">
        <v>11.403961214802081</v>
      </c>
      <c r="G264" s="255">
        <v>613.82180000000005</v>
      </c>
      <c r="H264" s="256" t="s">
        <v>199</v>
      </c>
      <c r="I264" s="256" t="s">
        <v>533</v>
      </c>
      <c r="J264" s="256" t="s">
        <v>97</v>
      </c>
      <c r="K264" s="256" t="s">
        <v>439</v>
      </c>
      <c r="L264" s="256" t="s">
        <v>2086</v>
      </c>
      <c r="M264" s="252"/>
      <c r="N264" s="252"/>
      <c r="O264" s="252"/>
    </row>
    <row r="265" spans="1:15" hidden="1">
      <c r="A265" s="251">
        <v>45702</v>
      </c>
      <c r="B265" s="252" t="s">
        <v>587</v>
      </c>
      <c r="C265" s="252" t="s">
        <v>151</v>
      </c>
      <c r="D265" s="253" t="s">
        <v>118</v>
      </c>
      <c r="E265" s="254">
        <v>30000</v>
      </c>
      <c r="F265" s="254">
        <v>48.874119492008916</v>
      </c>
      <c r="G265" s="255">
        <v>613.82180000000005</v>
      </c>
      <c r="H265" s="256" t="s">
        <v>156</v>
      </c>
      <c r="I265" s="256" t="s">
        <v>588</v>
      </c>
      <c r="J265" s="256" t="s">
        <v>97</v>
      </c>
      <c r="K265" s="256" t="s">
        <v>439</v>
      </c>
      <c r="L265" s="256" t="s">
        <v>2086</v>
      </c>
      <c r="M265" s="252"/>
      <c r="N265" s="252"/>
      <c r="O265" s="252"/>
    </row>
    <row r="266" spans="1:15" hidden="1">
      <c r="A266" s="251">
        <v>45702</v>
      </c>
      <c r="B266" s="252" t="s">
        <v>589</v>
      </c>
      <c r="C266" s="252" t="s">
        <v>151</v>
      </c>
      <c r="D266" s="253" t="s">
        <v>116</v>
      </c>
      <c r="E266" s="254">
        <v>30000</v>
      </c>
      <c r="F266" s="254">
        <v>48.874119492008916</v>
      </c>
      <c r="G266" s="255">
        <v>613.82180000000005</v>
      </c>
      <c r="H266" s="256" t="s">
        <v>156</v>
      </c>
      <c r="I266" s="256" t="s">
        <v>590</v>
      </c>
      <c r="J266" s="256" t="s">
        <v>97</v>
      </c>
      <c r="K266" s="256" t="s">
        <v>439</v>
      </c>
      <c r="L266" s="256" t="s">
        <v>2086</v>
      </c>
      <c r="M266" s="252"/>
      <c r="N266" s="252"/>
      <c r="O266" s="252"/>
    </row>
    <row r="267" spans="1:15" hidden="1">
      <c r="A267" s="251">
        <v>45702</v>
      </c>
      <c r="B267" s="252" t="s">
        <v>591</v>
      </c>
      <c r="C267" s="252" t="s">
        <v>151</v>
      </c>
      <c r="D267" s="253" t="s">
        <v>442</v>
      </c>
      <c r="E267" s="254">
        <v>55000</v>
      </c>
      <c r="F267" s="254">
        <v>94.950186542589222</v>
      </c>
      <c r="G267" s="255">
        <v>579.25099999999998</v>
      </c>
      <c r="H267" s="256" t="s">
        <v>156</v>
      </c>
      <c r="I267" s="256" t="s">
        <v>592</v>
      </c>
      <c r="J267" s="256" t="s">
        <v>97</v>
      </c>
      <c r="K267" s="260" t="s">
        <v>201</v>
      </c>
      <c r="L267" s="256" t="s">
        <v>2086</v>
      </c>
      <c r="M267" s="252"/>
      <c r="N267" s="252"/>
      <c r="O267" s="252"/>
    </row>
    <row r="268" spans="1:15" hidden="1">
      <c r="A268" s="251">
        <v>45702</v>
      </c>
      <c r="B268" s="252" t="s">
        <v>593</v>
      </c>
      <c r="C268" s="252" t="s">
        <v>151</v>
      </c>
      <c r="D268" s="252" t="s">
        <v>119</v>
      </c>
      <c r="E268" s="254">
        <v>10000</v>
      </c>
      <c r="F268" s="254">
        <v>16.291373164002973</v>
      </c>
      <c r="G268" s="255">
        <v>613.82180000000005</v>
      </c>
      <c r="H268" s="256" t="s">
        <v>156</v>
      </c>
      <c r="I268" s="256" t="s">
        <v>594</v>
      </c>
      <c r="J268" s="256" t="s">
        <v>97</v>
      </c>
      <c r="K268" s="256" t="s">
        <v>439</v>
      </c>
      <c r="L268" s="256" t="s">
        <v>2086</v>
      </c>
      <c r="M268" s="252"/>
      <c r="N268" s="252"/>
      <c r="O268" s="252"/>
    </row>
    <row r="269" spans="1:15" hidden="1">
      <c r="A269" s="251">
        <v>45702</v>
      </c>
      <c r="B269" s="252" t="s">
        <v>596</v>
      </c>
      <c r="C269" s="252" t="s">
        <v>151</v>
      </c>
      <c r="D269" s="253" t="s">
        <v>116</v>
      </c>
      <c r="E269" s="254">
        <v>10000</v>
      </c>
      <c r="F269" s="254">
        <v>16.291373164002973</v>
      </c>
      <c r="G269" s="255">
        <v>613.82180000000005</v>
      </c>
      <c r="H269" s="256" t="s">
        <v>156</v>
      </c>
      <c r="I269" s="256" t="s">
        <v>595</v>
      </c>
      <c r="J269" s="256" t="s">
        <v>97</v>
      </c>
      <c r="K269" s="256" t="s">
        <v>439</v>
      </c>
      <c r="L269" s="256" t="s">
        <v>2086</v>
      </c>
      <c r="M269" s="252"/>
      <c r="N269" s="252"/>
      <c r="O269" s="252"/>
    </row>
    <row r="270" spans="1:15" hidden="1">
      <c r="A270" s="251">
        <v>45702</v>
      </c>
      <c r="B270" s="252" t="s">
        <v>770</v>
      </c>
      <c r="C270" s="252" t="s">
        <v>151</v>
      </c>
      <c r="D270" s="253" t="s">
        <v>442</v>
      </c>
      <c r="E270" s="254">
        <v>5000</v>
      </c>
      <c r="F270" s="254">
        <v>8.1456865820014865</v>
      </c>
      <c r="G270" s="255">
        <v>613.82180000000005</v>
      </c>
      <c r="H270" s="256" t="s">
        <v>156</v>
      </c>
      <c r="I270" s="256" t="s">
        <v>597</v>
      </c>
      <c r="J270" s="256" t="s">
        <v>97</v>
      </c>
      <c r="K270" s="256" t="s">
        <v>439</v>
      </c>
      <c r="L270" s="256" t="s">
        <v>2086</v>
      </c>
      <c r="M270" s="252"/>
      <c r="N270" s="252"/>
      <c r="O270" s="252"/>
    </row>
    <row r="271" spans="1:15" hidden="1">
      <c r="A271" s="251">
        <v>45702</v>
      </c>
      <c r="B271" s="252" t="s">
        <v>585</v>
      </c>
      <c r="C271" s="259" t="s">
        <v>2087</v>
      </c>
      <c r="D271" s="252" t="s">
        <v>117</v>
      </c>
      <c r="E271" s="254">
        <v>11310</v>
      </c>
      <c r="F271" s="254">
        <v>18.425543048487359</v>
      </c>
      <c r="G271" s="255">
        <v>613.82180000000005</v>
      </c>
      <c r="H271" s="256" t="s">
        <v>583</v>
      </c>
      <c r="I271" s="256" t="s">
        <v>586</v>
      </c>
      <c r="J271" s="256" t="s">
        <v>97</v>
      </c>
      <c r="K271" s="256" t="s">
        <v>439</v>
      </c>
      <c r="L271" s="256" t="s">
        <v>2086</v>
      </c>
      <c r="M271" s="252"/>
      <c r="N271" s="252"/>
      <c r="O271" s="252"/>
    </row>
    <row r="272" spans="1:15" hidden="1">
      <c r="A272" s="251">
        <v>45702</v>
      </c>
      <c r="B272" s="252" t="s">
        <v>691</v>
      </c>
      <c r="C272" s="258" t="s">
        <v>365</v>
      </c>
      <c r="D272" s="253" t="s">
        <v>442</v>
      </c>
      <c r="E272" s="254">
        <v>4000</v>
      </c>
      <c r="F272" s="254">
        <v>6.5165492656011885</v>
      </c>
      <c r="G272" s="255">
        <v>613.82180000000005</v>
      </c>
      <c r="H272" s="256" t="s">
        <v>322</v>
      </c>
      <c r="I272" s="256" t="s">
        <v>692</v>
      </c>
      <c r="J272" s="256" t="s">
        <v>97</v>
      </c>
      <c r="K272" s="256" t="s">
        <v>439</v>
      </c>
      <c r="L272" s="256" t="s">
        <v>2086</v>
      </c>
      <c r="M272" s="252"/>
      <c r="N272" s="252"/>
      <c r="O272" s="252"/>
    </row>
    <row r="273" spans="1:15" hidden="1">
      <c r="A273" s="251">
        <v>45702</v>
      </c>
      <c r="B273" s="252" t="s">
        <v>3661</v>
      </c>
      <c r="C273" s="258" t="s">
        <v>173</v>
      </c>
      <c r="D273" s="253" t="s">
        <v>442</v>
      </c>
      <c r="E273" s="254">
        <v>7000</v>
      </c>
      <c r="F273" s="254">
        <v>11.403961214802081</v>
      </c>
      <c r="G273" s="255">
        <v>613.82180000000005</v>
      </c>
      <c r="H273" s="256" t="s">
        <v>322</v>
      </c>
      <c r="I273" s="256" t="s">
        <v>693</v>
      </c>
      <c r="J273" s="256" t="s">
        <v>97</v>
      </c>
      <c r="K273" s="256" t="s">
        <v>439</v>
      </c>
      <c r="L273" s="256" t="s">
        <v>2086</v>
      </c>
      <c r="M273" s="252"/>
      <c r="N273" s="252"/>
      <c r="O273" s="252"/>
    </row>
    <row r="274" spans="1:15" hidden="1">
      <c r="A274" s="251">
        <v>45702</v>
      </c>
      <c r="B274" s="252" t="s">
        <v>705</v>
      </c>
      <c r="C274" s="258" t="s">
        <v>173</v>
      </c>
      <c r="D274" s="253" t="s">
        <v>116</v>
      </c>
      <c r="E274" s="254">
        <v>7000</v>
      </c>
      <c r="F274" s="254">
        <v>11.403961214802081</v>
      </c>
      <c r="G274" s="255">
        <v>613.82180000000005</v>
      </c>
      <c r="H274" s="256" t="s">
        <v>186</v>
      </c>
      <c r="I274" s="256" t="s">
        <v>706</v>
      </c>
      <c r="J274" s="256" t="s">
        <v>97</v>
      </c>
      <c r="K274" s="256" t="s">
        <v>439</v>
      </c>
      <c r="L274" s="256" t="s">
        <v>2086</v>
      </c>
      <c r="M274" s="252"/>
      <c r="N274" s="252"/>
      <c r="O274" s="252"/>
    </row>
    <row r="275" spans="1:15" hidden="1">
      <c r="A275" s="251">
        <v>45702</v>
      </c>
      <c r="B275" s="252" t="s">
        <v>486</v>
      </c>
      <c r="C275" s="258" t="s">
        <v>173</v>
      </c>
      <c r="D275" s="252" t="s">
        <v>119</v>
      </c>
      <c r="E275" s="254">
        <v>7000</v>
      </c>
      <c r="F275" s="254">
        <v>11.403961214802081</v>
      </c>
      <c r="G275" s="255">
        <v>613.82180000000005</v>
      </c>
      <c r="H275" s="256" t="s">
        <v>212</v>
      </c>
      <c r="I275" s="256" t="s">
        <v>487</v>
      </c>
      <c r="J275" s="256" t="s">
        <v>97</v>
      </c>
      <c r="K275" s="256" t="s">
        <v>439</v>
      </c>
      <c r="L275" s="256" t="s">
        <v>2086</v>
      </c>
      <c r="M275" s="252"/>
      <c r="N275" s="252"/>
      <c r="O275" s="252"/>
    </row>
    <row r="276" spans="1:15" hidden="1">
      <c r="A276" s="251">
        <v>45702</v>
      </c>
      <c r="B276" s="252" t="s">
        <v>723</v>
      </c>
      <c r="C276" s="252" t="s">
        <v>312</v>
      </c>
      <c r="D276" s="253" t="s">
        <v>2088</v>
      </c>
      <c r="E276" s="254">
        <v>20000</v>
      </c>
      <c r="F276" s="254">
        <v>32.582746328005946</v>
      </c>
      <c r="G276" s="255">
        <v>613.82180000000005</v>
      </c>
      <c r="H276" s="256" t="s">
        <v>192</v>
      </c>
      <c r="I276" s="256" t="s">
        <v>724</v>
      </c>
      <c r="J276" s="256" t="s">
        <v>97</v>
      </c>
      <c r="K276" s="256" t="s">
        <v>439</v>
      </c>
      <c r="L276" s="256" t="s">
        <v>2086</v>
      </c>
      <c r="M276" s="252"/>
      <c r="N276" s="252"/>
      <c r="O276" s="252"/>
    </row>
    <row r="277" spans="1:15" hidden="1">
      <c r="A277" s="251">
        <v>45702</v>
      </c>
      <c r="B277" s="252" t="s">
        <v>3694</v>
      </c>
      <c r="C277" s="258" t="s">
        <v>173</v>
      </c>
      <c r="D277" s="253" t="s">
        <v>442</v>
      </c>
      <c r="E277" s="254">
        <v>7000</v>
      </c>
      <c r="F277" s="254">
        <v>11.403961214802081</v>
      </c>
      <c r="G277" s="255">
        <v>613.82180000000005</v>
      </c>
      <c r="H277" s="256" t="s">
        <v>316</v>
      </c>
      <c r="I277" s="256" t="s">
        <v>749</v>
      </c>
      <c r="J277" s="256" t="s">
        <v>97</v>
      </c>
      <c r="K277" s="256" t="s">
        <v>439</v>
      </c>
      <c r="L277" s="256" t="s">
        <v>2086</v>
      </c>
      <c r="M277" s="252"/>
      <c r="N277" s="252"/>
      <c r="O277" s="252"/>
    </row>
    <row r="278" spans="1:15" hidden="1">
      <c r="A278" s="251">
        <v>45703</v>
      </c>
      <c r="B278" s="252" t="s">
        <v>638</v>
      </c>
      <c r="C278" s="258" t="s">
        <v>176</v>
      </c>
      <c r="D278" s="253" t="s">
        <v>118</v>
      </c>
      <c r="E278" s="254">
        <v>100000</v>
      </c>
      <c r="F278" s="254">
        <v>162.91373164002971</v>
      </c>
      <c r="G278" s="255">
        <v>613.82180000000005</v>
      </c>
      <c r="H278" s="256" t="s">
        <v>152</v>
      </c>
      <c r="I278" s="256" t="s">
        <v>639</v>
      </c>
      <c r="J278" s="256" t="s">
        <v>97</v>
      </c>
      <c r="K278" s="256" t="s">
        <v>439</v>
      </c>
      <c r="L278" s="256" t="s">
        <v>2086</v>
      </c>
      <c r="M278" s="252"/>
      <c r="N278" s="252"/>
      <c r="O278" s="252"/>
    </row>
    <row r="279" spans="1:15" hidden="1">
      <c r="A279" s="251">
        <v>45703</v>
      </c>
      <c r="B279" s="252" t="s">
        <v>520</v>
      </c>
      <c r="C279" s="258" t="s">
        <v>176</v>
      </c>
      <c r="D279" s="253" t="s">
        <v>116</v>
      </c>
      <c r="E279" s="254">
        <v>180000</v>
      </c>
      <c r="F279" s="254">
        <v>293.24471695205347</v>
      </c>
      <c r="G279" s="255">
        <v>613.82180000000005</v>
      </c>
      <c r="H279" s="256" t="s">
        <v>199</v>
      </c>
      <c r="I279" s="256" t="s">
        <v>521</v>
      </c>
      <c r="J279" s="256" t="s">
        <v>97</v>
      </c>
      <c r="K279" s="256" t="s">
        <v>439</v>
      </c>
      <c r="L279" s="256" t="s">
        <v>2086</v>
      </c>
      <c r="M279" s="252"/>
      <c r="N279" s="252"/>
      <c r="O279" s="252"/>
    </row>
    <row r="280" spans="1:15" hidden="1">
      <c r="A280" s="251">
        <v>45703</v>
      </c>
      <c r="B280" s="252" t="s">
        <v>3693</v>
      </c>
      <c r="C280" s="258" t="s">
        <v>176</v>
      </c>
      <c r="D280" s="253" t="s">
        <v>442</v>
      </c>
      <c r="E280" s="254">
        <v>70000</v>
      </c>
      <c r="F280" s="254">
        <v>114.03961214802079</v>
      </c>
      <c r="G280" s="255">
        <v>613.82180000000005</v>
      </c>
      <c r="H280" s="256" t="s">
        <v>316</v>
      </c>
      <c r="I280" s="256" t="s">
        <v>748</v>
      </c>
      <c r="J280" s="256" t="s">
        <v>97</v>
      </c>
      <c r="K280" s="256" t="s">
        <v>439</v>
      </c>
      <c r="L280" s="256" t="s">
        <v>2086</v>
      </c>
      <c r="M280" s="252"/>
      <c r="N280" s="252"/>
      <c r="O280" s="252"/>
    </row>
    <row r="281" spans="1:15" hidden="1">
      <c r="A281" s="251">
        <v>45703</v>
      </c>
      <c r="B281" s="252" t="s">
        <v>3662</v>
      </c>
      <c r="C281" s="258" t="s">
        <v>176</v>
      </c>
      <c r="D281" s="253" t="s">
        <v>442</v>
      </c>
      <c r="E281" s="254">
        <v>30000</v>
      </c>
      <c r="F281" s="254">
        <v>48.874119492008916</v>
      </c>
      <c r="G281" s="255">
        <v>613.82180000000005</v>
      </c>
      <c r="H281" s="256" t="s">
        <v>322</v>
      </c>
      <c r="I281" s="256" t="s">
        <v>694</v>
      </c>
      <c r="J281" s="256" t="s">
        <v>97</v>
      </c>
      <c r="K281" s="256" t="s">
        <v>439</v>
      </c>
      <c r="L281" s="256" t="s">
        <v>2086</v>
      </c>
      <c r="M281" s="252"/>
      <c r="N281" s="252"/>
      <c r="O281" s="252"/>
    </row>
    <row r="282" spans="1:15" hidden="1">
      <c r="A282" s="251">
        <v>45703</v>
      </c>
      <c r="B282" s="252" t="s">
        <v>2091</v>
      </c>
      <c r="C282" s="258" t="s">
        <v>176</v>
      </c>
      <c r="D282" s="253" t="s">
        <v>116</v>
      </c>
      <c r="E282" s="254">
        <v>170000</v>
      </c>
      <c r="F282" s="254">
        <v>276.95334378805052</v>
      </c>
      <c r="G282" s="255">
        <v>613.82180000000005</v>
      </c>
      <c r="H282" s="256" t="s">
        <v>186</v>
      </c>
      <c r="I282" s="256" t="s">
        <v>707</v>
      </c>
      <c r="J282" s="256" t="s">
        <v>97</v>
      </c>
      <c r="K282" s="256" t="s">
        <v>439</v>
      </c>
      <c r="L282" s="256" t="s">
        <v>2086</v>
      </c>
      <c r="M282" s="252"/>
      <c r="N282" s="252"/>
      <c r="O282" s="252"/>
    </row>
    <row r="283" spans="1:15" hidden="1">
      <c r="A283" s="251">
        <v>45703</v>
      </c>
      <c r="B283" s="252" t="s">
        <v>510</v>
      </c>
      <c r="C283" s="258" t="s">
        <v>176</v>
      </c>
      <c r="D283" s="253" t="s">
        <v>116</v>
      </c>
      <c r="E283" s="254">
        <v>45000</v>
      </c>
      <c r="F283" s="254">
        <v>73.311179238013366</v>
      </c>
      <c r="G283" s="255">
        <v>613.82180000000005</v>
      </c>
      <c r="H283" s="256" t="s">
        <v>189</v>
      </c>
      <c r="I283" s="256" t="s">
        <v>511</v>
      </c>
      <c r="J283" s="256" t="s">
        <v>97</v>
      </c>
      <c r="K283" s="256" t="s">
        <v>439</v>
      </c>
      <c r="L283" s="256" t="s">
        <v>2086</v>
      </c>
      <c r="M283" s="252"/>
      <c r="N283" s="252"/>
      <c r="O283" s="252"/>
    </row>
    <row r="284" spans="1:15" hidden="1">
      <c r="A284" s="251">
        <v>45703</v>
      </c>
      <c r="B284" s="252" t="s">
        <v>725</v>
      </c>
      <c r="C284" s="258" t="s">
        <v>176</v>
      </c>
      <c r="D284" s="253" t="s">
        <v>116</v>
      </c>
      <c r="E284" s="254">
        <v>30000</v>
      </c>
      <c r="F284" s="254">
        <v>48.874119492008916</v>
      </c>
      <c r="G284" s="255">
        <v>613.82180000000005</v>
      </c>
      <c r="H284" s="256" t="s">
        <v>192</v>
      </c>
      <c r="I284" s="256" t="s">
        <v>726</v>
      </c>
      <c r="J284" s="256" t="s">
        <v>97</v>
      </c>
      <c r="K284" s="256" t="s">
        <v>439</v>
      </c>
      <c r="L284" s="256" t="s">
        <v>2086</v>
      </c>
      <c r="M284" s="252"/>
      <c r="N284" s="252"/>
      <c r="O284" s="252"/>
    </row>
    <row r="285" spans="1:15" hidden="1">
      <c r="A285" s="251">
        <v>45703</v>
      </c>
      <c r="B285" s="252" t="s">
        <v>727</v>
      </c>
      <c r="C285" s="258" t="s">
        <v>173</v>
      </c>
      <c r="D285" s="253" t="s">
        <v>116</v>
      </c>
      <c r="E285" s="254">
        <v>4000</v>
      </c>
      <c r="F285" s="254">
        <v>6.5165492656011885</v>
      </c>
      <c r="G285" s="255">
        <v>613.82180000000005</v>
      </c>
      <c r="H285" s="256" t="s">
        <v>192</v>
      </c>
      <c r="I285" s="256" t="s">
        <v>728</v>
      </c>
      <c r="J285" s="256" t="s">
        <v>97</v>
      </c>
      <c r="K285" s="256" t="s">
        <v>439</v>
      </c>
      <c r="L285" s="256" t="s">
        <v>2086</v>
      </c>
      <c r="M285" s="252"/>
      <c r="N285" s="252"/>
      <c r="O285" s="252"/>
    </row>
    <row r="286" spans="1:15" hidden="1">
      <c r="A286" s="251">
        <v>45703</v>
      </c>
      <c r="B286" s="252" t="s">
        <v>488</v>
      </c>
      <c r="C286" s="258" t="s">
        <v>176</v>
      </c>
      <c r="D286" s="252" t="s">
        <v>119</v>
      </c>
      <c r="E286" s="254">
        <v>130000</v>
      </c>
      <c r="F286" s="254">
        <v>211.78785113203864</v>
      </c>
      <c r="G286" s="255">
        <v>613.82180000000005</v>
      </c>
      <c r="H286" s="256" t="s">
        <v>212</v>
      </c>
      <c r="I286" s="256" t="s">
        <v>489</v>
      </c>
      <c r="J286" s="256" t="s">
        <v>97</v>
      </c>
      <c r="K286" s="256" t="s">
        <v>439</v>
      </c>
      <c r="L286" s="256" t="s">
        <v>2086</v>
      </c>
      <c r="M286" s="252"/>
      <c r="N286" s="252"/>
      <c r="O286" s="252"/>
    </row>
    <row r="287" spans="1:15" hidden="1">
      <c r="A287" s="251">
        <v>45703</v>
      </c>
      <c r="B287" s="252" t="s">
        <v>729</v>
      </c>
      <c r="C287" s="258" t="s">
        <v>173</v>
      </c>
      <c r="D287" s="253" t="s">
        <v>116</v>
      </c>
      <c r="E287" s="254">
        <v>7000</v>
      </c>
      <c r="F287" s="254">
        <v>11.403961214802081</v>
      </c>
      <c r="G287" s="255">
        <v>613.82180000000005</v>
      </c>
      <c r="H287" s="256" t="s">
        <v>192</v>
      </c>
      <c r="I287" s="256" t="s">
        <v>730</v>
      </c>
      <c r="J287" s="256" t="s">
        <v>97</v>
      </c>
      <c r="K287" s="256" t="s">
        <v>439</v>
      </c>
      <c r="L287" s="256" t="s">
        <v>2086</v>
      </c>
      <c r="M287" s="252"/>
      <c r="N287" s="252"/>
      <c r="O287" s="252"/>
    </row>
    <row r="288" spans="1:15" hidden="1">
      <c r="A288" s="251">
        <v>45705</v>
      </c>
      <c r="B288" s="252" t="s">
        <v>598</v>
      </c>
      <c r="C288" s="252" t="s">
        <v>151</v>
      </c>
      <c r="D288" s="253" t="s">
        <v>442</v>
      </c>
      <c r="E288" s="254">
        <v>15000</v>
      </c>
      <c r="F288" s="254">
        <v>24.437059746004458</v>
      </c>
      <c r="G288" s="255">
        <v>613.82180000000005</v>
      </c>
      <c r="H288" s="256" t="s">
        <v>156</v>
      </c>
      <c r="I288" s="256" t="s">
        <v>599</v>
      </c>
      <c r="J288" s="256" t="s">
        <v>97</v>
      </c>
      <c r="K288" s="256" t="s">
        <v>439</v>
      </c>
      <c r="L288" s="256" t="s">
        <v>2086</v>
      </c>
      <c r="M288" s="252"/>
      <c r="N288" s="252"/>
      <c r="O288" s="252"/>
    </row>
    <row r="289" spans="1:15" hidden="1">
      <c r="A289" s="251">
        <v>45706</v>
      </c>
      <c r="B289" s="252" t="s">
        <v>600</v>
      </c>
      <c r="C289" s="259" t="s">
        <v>2087</v>
      </c>
      <c r="D289" s="252" t="s">
        <v>117</v>
      </c>
      <c r="E289" s="254">
        <v>9000</v>
      </c>
      <c r="F289" s="254">
        <v>14.662235847602675</v>
      </c>
      <c r="G289" s="255">
        <v>613.82180000000005</v>
      </c>
      <c r="H289" s="256" t="s">
        <v>583</v>
      </c>
      <c r="I289" s="256" t="s">
        <v>601</v>
      </c>
      <c r="J289" s="256" t="s">
        <v>97</v>
      </c>
      <c r="K289" s="256" t="s">
        <v>439</v>
      </c>
      <c r="L289" s="256" t="s">
        <v>2086</v>
      </c>
      <c r="M289" s="252"/>
      <c r="N289" s="252"/>
      <c r="O289" s="252"/>
    </row>
    <row r="290" spans="1:15" hidden="1">
      <c r="A290" s="251">
        <v>45706</v>
      </c>
      <c r="B290" s="252" t="s">
        <v>3692</v>
      </c>
      <c r="C290" s="258" t="s">
        <v>176</v>
      </c>
      <c r="D290" s="253" t="s">
        <v>442</v>
      </c>
      <c r="E290" s="254">
        <v>45000</v>
      </c>
      <c r="F290" s="254">
        <v>73.311179238013366</v>
      </c>
      <c r="G290" s="255">
        <v>613.82180000000005</v>
      </c>
      <c r="H290" s="256" t="s">
        <v>316</v>
      </c>
      <c r="I290" s="256" t="s">
        <v>750</v>
      </c>
      <c r="J290" s="256" t="s">
        <v>97</v>
      </c>
      <c r="K290" s="256" t="s">
        <v>439</v>
      </c>
      <c r="L290" s="256" t="s">
        <v>2086</v>
      </c>
      <c r="M290" s="252"/>
      <c r="N290" s="252"/>
      <c r="O290" s="252"/>
    </row>
    <row r="291" spans="1:15" hidden="1">
      <c r="A291" s="251">
        <v>45706</v>
      </c>
      <c r="B291" s="252" t="s">
        <v>3689</v>
      </c>
      <c r="C291" s="258" t="s">
        <v>173</v>
      </c>
      <c r="D291" s="253" t="s">
        <v>442</v>
      </c>
      <c r="E291" s="254">
        <v>4000</v>
      </c>
      <c r="F291" s="254">
        <v>6.5165492656011885</v>
      </c>
      <c r="G291" s="255">
        <v>613.82180000000005</v>
      </c>
      <c r="H291" s="256" t="s">
        <v>316</v>
      </c>
      <c r="I291" s="256" t="s">
        <v>751</v>
      </c>
      <c r="J291" s="256" t="s">
        <v>97</v>
      </c>
      <c r="K291" s="256" t="s">
        <v>439</v>
      </c>
      <c r="L291" s="256" t="s">
        <v>2086</v>
      </c>
      <c r="M291" s="252"/>
      <c r="N291" s="252"/>
      <c r="O291" s="252"/>
    </row>
    <row r="292" spans="1:15" hidden="1">
      <c r="A292" s="251">
        <v>45706</v>
      </c>
      <c r="B292" s="252" t="s">
        <v>602</v>
      </c>
      <c r="C292" s="252" t="s">
        <v>255</v>
      </c>
      <c r="D292" s="253" t="s">
        <v>116</v>
      </c>
      <c r="E292" s="254">
        <v>70000</v>
      </c>
      <c r="F292" s="254">
        <v>114.03961214802079</v>
      </c>
      <c r="G292" s="255">
        <v>613.82180000000005</v>
      </c>
      <c r="H292" s="256" t="s">
        <v>192</v>
      </c>
      <c r="I292" s="256" t="s">
        <v>603</v>
      </c>
      <c r="J292" s="256" t="s">
        <v>97</v>
      </c>
      <c r="K292" s="256" t="s">
        <v>439</v>
      </c>
      <c r="L292" s="256" t="s">
        <v>2086</v>
      </c>
      <c r="M292" s="252"/>
      <c r="N292" s="252"/>
      <c r="O292" s="252"/>
    </row>
    <row r="293" spans="1:15" hidden="1">
      <c r="A293" s="251">
        <v>45707</v>
      </c>
      <c r="B293" s="252" t="s">
        <v>773</v>
      </c>
      <c r="C293" s="258" t="s">
        <v>365</v>
      </c>
      <c r="D293" s="253" t="s">
        <v>442</v>
      </c>
      <c r="E293" s="254">
        <v>30000</v>
      </c>
      <c r="F293" s="254">
        <v>48.874119492008916</v>
      </c>
      <c r="G293" s="255">
        <v>613.82180000000005</v>
      </c>
      <c r="H293" s="256" t="s">
        <v>156</v>
      </c>
      <c r="I293" s="256" t="s">
        <v>604</v>
      </c>
      <c r="J293" s="256" t="s">
        <v>97</v>
      </c>
      <c r="K293" s="256" t="s">
        <v>439</v>
      </c>
      <c r="L293" s="256" t="s">
        <v>2086</v>
      </c>
      <c r="M293" s="252"/>
      <c r="N293" s="252"/>
      <c r="O293" s="252"/>
    </row>
    <row r="294" spans="1:15" hidden="1">
      <c r="A294" s="251">
        <v>45707</v>
      </c>
      <c r="B294" s="252" t="s">
        <v>605</v>
      </c>
      <c r="C294" s="259" t="s">
        <v>2087</v>
      </c>
      <c r="D294" s="252" t="s">
        <v>117</v>
      </c>
      <c r="E294" s="254">
        <v>1952</v>
      </c>
      <c r="F294" s="254">
        <v>3.3698684387478939</v>
      </c>
      <c r="G294" s="255">
        <v>579.25099999999998</v>
      </c>
      <c r="H294" s="256" t="s">
        <v>156</v>
      </c>
      <c r="I294" s="256" t="s">
        <v>606</v>
      </c>
      <c r="J294" s="256" t="s">
        <v>97</v>
      </c>
      <c r="K294" s="260" t="s">
        <v>201</v>
      </c>
      <c r="L294" s="256" t="s">
        <v>2086</v>
      </c>
      <c r="M294" s="252"/>
      <c r="N294" s="252"/>
      <c r="O294" s="252"/>
    </row>
    <row r="295" spans="1:15" hidden="1">
      <c r="A295" s="251">
        <v>45707</v>
      </c>
      <c r="B295" s="252" t="s">
        <v>607</v>
      </c>
      <c r="C295" s="259" t="s">
        <v>2087</v>
      </c>
      <c r="D295" s="252" t="s">
        <v>117</v>
      </c>
      <c r="E295" s="254">
        <v>14250</v>
      </c>
      <c r="F295" s="254">
        <v>23.215206758704234</v>
      </c>
      <c r="G295" s="255">
        <v>613.82180000000005</v>
      </c>
      <c r="H295" s="256" t="s">
        <v>583</v>
      </c>
      <c r="I295" s="256" t="s">
        <v>608</v>
      </c>
      <c r="J295" s="256" t="s">
        <v>97</v>
      </c>
      <c r="K295" s="256" t="s">
        <v>439</v>
      </c>
      <c r="L295" s="256" t="s">
        <v>2086</v>
      </c>
      <c r="M295" s="252"/>
      <c r="N295" s="252"/>
      <c r="O295" s="252"/>
    </row>
    <row r="296" spans="1:15" hidden="1">
      <c r="A296" s="251">
        <v>45708</v>
      </c>
      <c r="B296" s="252" t="s">
        <v>3691</v>
      </c>
      <c r="C296" s="258" t="s">
        <v>176</v>
      </c>
      <c r="D296" s="253" t="s">
        <v>442</v>
      </c>
      <c r="E296" s="254">
        <v>30000</v>
      </c>
      <c r="F296" s="254">
        <v>48.874119492008916</v>
      </c>
      <c r="G296" s="255">
        <v>613.82180000000005</v>
      </c>
      <c r="H296" s="256" t="s">
        <v>316</v>
      </c>
      <c r="I296" s="256" t="s">
        <v>752</v>
      </c>
      <c r="J296" s="256" t="s">
        <v>97</v>
      </c>
      <c r="K296" s="256" t="s">
        <v>439</v>
      </c>
      <c r="L296" s="256" t="s">
        <v>2086</v>
      </c>
      <c r="M296" s="252"/>
      <c r="N296" s="252"/>
      <c r="O296" s="252"/>
    </row>
    <row r="297" spans="1:15" hidden="1">
      <c r="A297" s="251">
        <v>45708</v>
      </c>
      <c r="B297" s="252" t="s">
        <v>753</v>
      </c>
      <c r="C297" s="258" t="s">
        <v>173</v>
      </c>
      <c r="D297" s="253" t="s">
        <v>442</v>
      </c>
      <c r="E297" s="254">
        <v>4000</v>
      </c>
      <c r="F297" s="254">
        <v>6.5165492656011885</v>
      </c>
      <c r="G297" s="255">
        <v>613.82180000000005</v>
      </c>
      <c r="H297" s="256" t="s">
        <v>316</v>
      </c>
      <c r="I297" s="256" t="s">
        <v>754</v>
      </c>
      <c r="J297" s="256" t="s">
        <v>97</v>
      </c>
      <c r="K297" s="256" t="s">
        <v>439</v>
      </c>
      <c r="L297" s="256" t="s">
        <v>2086</v>
      </c>
      <c r="M297" s="252"/>
      <c r="N297" s="252"/>
      <c r="O297" s="252"/>
    </row>
    <row r="298" spans="1:15" hidden="1">
      <c r="A298" s="251">
        <v>45708</v>
      </c>
      <c r="B298" s="252" t="s">
        <v>512</v>
      </c>
      <c r="C298" s="258" t="s">
        <v>176</v>
      </c>
      <c r="D298" s="253" t="s">
        <v>116</v>
      </c>
      <c r="E298" s="254">
        <v>75000</v>
      </c>
      <c r="F298" s="254">
        <v>122.18529873002228</v>
      </c>
      <c r="G298" s="255">
        <v>613.82180000000005</v>
      </c>
      <c r="H298" s="256" t="s">
        <v>189</v>
      </c>
      <c r="I298" s="256" t="s">
        <v>513</v>
      </c>
      <c r="J298" s="256" t="s">
        <v>97</v>
      </c>
      <c r="K298" s="256" t="s">
        <v>439</v>
      </c>
      <c r="L298" s="256" t="s">
        <v>2086</v>
      </c>
      <c r="M298" s="252"/>
      <c r="N298" s="252"/>
      <c r="O298" s="252"/>
    </row>
    <row r="299" spans="1:15" hidden="1">
      <c r="A299" s="251">
        <v>45709</v>
      </c>
      <c r="B299" s="252" t="s">
        <v>585</v>
      </c>
      <c r="C299" s="259" t="s">
        <v>2087</v>
      </c>
      <c r="D299" s="252" t="s">
        <v>117</v>
      </c>
      <c r="E299" s="254">
        <v>14700</v>
      </c>
      <c r="F299" s="254">
        <v>23.94831855108437</v>
      </c>
      <c r="G299" s="255">
        <v>613.82180000000005</v>
      </c>
      <c r="H299" s="256" t="s">
        <v>192</v>
      </c>
      <c r="I299" s="256" t="s">
        <v>610</v>
      </c>
      <c r="J299" s="256" t="s">
        <v>97</v>
      </c>
      <c r="K299" s="256" t="s">
        <v>439</v>
      </c>
      <c r="L299" s="256" t="s">
        <v>2086</v>
      </c>
      <c r="M299" s="252"/>
      <c r="N299" s="252"/>
      <c r="O299" s="252"/>
    </row>
    <row r="300" spans="1:15" hidden="1">
      <c r="A300" s="251">
        <v>45710</v>
      </c>
      <c r="B300" s="252" t="s">
        <v>767</v>
      </c>
      <c r="C300" s="258" t="s">
        <v>176</v>
      </c>
      <c r="D300" s="253" t="s">
        <v>116</v>
      </c>
      <c r="E300" s="254">
        <v>105000</v>
      </c>
      <c r="F300" s="254">
        <v>171.05941822203121</v>
      </c>
      <c r="G300" s="255">
        <v>613.82180000000005</v>
      </c>
      <c r="H300" s="256" t="s">
        <v>199</v>
      </c>
      <c r="I300" s="256" t="s">
        <v>522</v>
      </c>
      <c r="J300" s="256" t="s">
        <v>97</v>
      </c>
      <c r="K300" s="256" t="s">
        <v>439</v>
      </c>
      <c r="L300" s="256" t="s">
        <v>2086</v>
      </c>
      <c r="M300" s="252"/>
      <c r="N300" s="252"/>
      <c r="O300" s="252"/>
    </row>
    <row r="301" spans="1:15" hidden="1">
      <c r="A301" s="251">
        <v>45710</v>
      </c>
      <c r="B301" s="252" t="s">
        <v>3867</v>
      </c>
      <c r="C301" s="258" t="s">
        <v>176</v>
      </c>
      <c r="D301" s="253" t="s">
        <v>442</v>
      </c>
      <c r="E301" s="254">
        <v>180000</v>
      </c>
      <c r="F301" s="254">
        <v>293.24471695205347</v>
      </c>
      <c r="G301" s="255">
        <v>613.82180000000005</v>
      </c>
      <c r="H301" s="256" t="s">
        <v>174</v>
      </c>
      <c r="I301" s="256" t="s">
        <v>676</v>
      </c>
      <c r="J301" s="256" t="s">
        <v>97</v>
      </c>
      <c r="K301" s="256" t="s">
        <v>439</v>
      </c>
      <c r="L301" s="256" t="s">
        <v>2086</v>
      </c>
      <c r="M301" s="252"/>
      <c r="N301" s="252"/>
      <c r="O301" s="252"/>
    </row>
    <row r="302" spans="1:15" hidden="1">
      <c r="A302" s="251">
        <v>45710</v>
      </c>
      <c r="B302" s="252" t="s">
        <v>3691</v>
      </c>
      <c r="C302" s="258" t="s">
        <v>176</v>
      </c>
      <c r="D302" s="253" t="s">
        <v>442</v>
      </c>
      <c r="E302" s="254">
        <v>30000</v>
      </c>
      <c r="F302" s="254">
        <v>48.874119492008916</v>
      </c>
      <c r="G302" s="255">
        <v>613.82180000000005</v>
      </c>
      <c r="H302" s="256" t="s">
        <v>316</v>
      </c>
      <c r="I302" s="256" t="s">
        <v>755</v>
      </c>
      <c r="J302" s="256" t="s">
        <v>97</v>
      </c>
      <c r="K302" s="256" t="s">
        <v>439</v>
      </c>
      <c r="L302" s="256" t="s">
        <v>2086</v>
      </c>
      <c r="M302" s="252"/>
      <c r="N302" s="252"/>
      <c r="O302" s="252"/>
    </row>
    <row r="303" spans="1:15" hidden="1">
      <c r="A303" s="251">
        <v>45710</v>
      </c>
      <c r="B303" s="252" t="s">
        <v>3694</v>
      </c>
      <c r="C303" s="258" t="s">
        <v>173</v>
      </c>
      <c r="D303" s="253" t="s">
        <v>442</v>
      </c>
      <c r="E303" s="254">
        <v>7000</v>
      </c>
      <c r="F303" s="254">
        <v>11.403961214802081</v>
      </c>
      <c r="G303" s="255">
        <v>613.82180000000005</v>
      </c>
      <c r="H303" s="256" t="s">
        <v>316</v>
      </c>
      <c r="I303" s="256" t="s">
        <v>756</v>
      </c>
      <c r="J303" s="256" t="s">
        <v>97</v>
      </c>
      <c r="K303" s="256" t="s">
        <v>439</v>
      </c>
      <c r="L303" s="256" t="s">
        <v>2086</v>
      </c>
      <c r="M303" s="252"/>
      <c r="N303" s="252"/>
      <c r="O303" s="252"/>
    </row>
    <row r="304" spans="1:15" hidden="1">
      <c r="A304" s="251">
        <v>45711</v>
      </c>
      <c r="B304" s="252" t="s">
        <v>677</v>
      </c>
      <c r="C304" s="258" t="s">
        <v>365</v>
      </c>
      <c r="D304" s="253" t="s">
        <v>442</v>
      </c>
      <c r="E304" s="254">
        <v>68000</v>
      </c>
      <c r="F304" s="254">
        <v>110.7813375152202</v>
      </c>
      <c r="G304" s="255">
        <v>613.82180000000005</v>
      </c>
      <c r="H304" s="256" t="s">
        <v>174</v>
      </c>
      <c r="I304" s="256" t="s">
        <v>678</v>
      </c>
      <c r="J304" s="256" t="s">
        <v>97</v>
      </c>
      <c r="K304" s="256" t="s">
        <v>439</v>
      </c>
      <c r="L304" s="256" t="s">
        <v>2086</v>
      </c>
      <c r="M304" s="252"/>
      <c r="N304" s="252"/>
      <c r="O304" s="252"/>
    </row>
    <row r="305" spans="1:15" hidden="1">
      <c r="A305" s="251">
        <v>45712</v>
      </c>
      <c r="B305" s="252" t="s">
        <v>523</v>
      </c>
      <c r="C305" s="258" t="s">
        <v>176</v>
      </c>
      <c r="D305" s="252" t="s">
        <v>2088</v>
      </c>
      <c r="E305" s="254">
        <v>10500</v>
      </c>
      <c r="F305" s="254">
        <v>17.105941822203121</v>
      </c>
      <c r="G305" s="255">
        <v>613.82180000000005</v>
      </c>
      <c r="H305" s="256" t="s">
        <v>199</v>
      </c>
      <c r="I305" s="256" t="s">
        <v>524</v>
      </c>
      <c r="J305" s="256" t="s">
        <v>97</v>
      </c>
      <c r="K305" s="256" t="s">
        <v>439</v>
      </c>
      <c r="L305" s="256" t="s">
        <v>2086</v>
      </c>
      <c r="M305" s="252"/>
      <c r="N305" s="252"/>
      <c r="O305" s="252"/>
    </row>
    <row r="306" spans="1:15" hidden="1">
      <c r="A306" s="251">
        <v>45712</v>
      </c>
      <c r="B306" s="252" t="s">
        <v>525</v>
      </c>
      <c r="C306" s="258" t="s">
        <v>1164</v>
      </c>
      <c r="D306" s="252" t="s">
        <v>2088</v>
      </c>
      <c r="E306" s="254">
        <v>1500</v>
      </c>
      <c r="F306" s="254">
        <v>2.4437059746004457</v>
      </c>
      <c r="G306" s="255">
        <v>613.82180000000005</v>
      </c>
      <c r="H306" s="256" t="s">
        <v>199</v>
      </c>
      <c r="I306" s="256" t="s">
        <v>526</v>
      </c>
      <c r="J306" s="256" t="s">
        <v>97</v>
      </c>
      <c r="K306" s="256" t="s">
        <v>439</v>
      </c>
      <c r="L306" s="256" t="s">
        <v>2086</v>
      </c>
      <c r="M306" s="252"/>
      <c r="N306" s="252"/>
      <c r="O306" s="252"/>
    </row>
    <row r="307" spans="1:15" hidden="1">
      <c r="A307" s="251">
        <v>45712</v>
      </c>
      <c r="B307" s="252" t="s">
        <v>612</v>
      </c>
      <c r="C307" s="252" t="s">
        <v>151</v>
      </c>
      <c r="D307" s="253" t="s">
        <v>118</v>
      </c>
      <c r="E307" s="254">
        <v>5000</v>
      </c>
      <c r="F307" s="254">
        <v>8.1456865820014865</v>
      </c>
      <c r="G307" s="255">
        <v>613.82180000000005</v>
      </c>
      <c r="H307" s="256" t="s">
        <v>156</v>
      </c>
      <c r="I307" s="256" t="s">
        <v>613</v>
      </c>
      <c r="J307" s="256" t="s">
        <v>97</v>
      </c>
      <c r="K307" s="256" t="s">
        <v>439</v>
      </c>
      <c r="L307" s="256" t="s">
        <v>2086</v>
      </c>
      <c r="M307" s="252"/>
      <c r="N307" s="252"/>
      <c r="O307" s="252"/>
    </row>
    <row r="308" spans="1:15" hidden="1">
      <c r="A308" s="251">
        <v>45712</v>
      </c>
      <c r="B308" s="252" t="s">
        <v>3763</v>
      </c>
      <c r="C308" s="258" t="s">
        <v>176</v>
      </c>
      <c r="D308" s="253" t="s">
        <v>442</v>
      </c>
      <c r="E308" s="254">
        <v>210000</v>
      </c>
      <c r="F308" s="254">
        <v>342.11883644406242</v>
      </c>
      <c r="G308" s="255">
        <v>613.82180000000005</v>
      </c>
      <c r="H308" s="256" t="s">
        <v>183</v>
      </c>
      <c r="I308" s="256" t="s">
        <v>662</v>
      </c>
      <c r="J308" s="256" t="s">
        <v>97</v>
      </c>
      <c r="K308" s="256" t="s">
        <v>439</v>
      </c>
      <c r="L308" s="256" t="s">
        <v>2086</v>
      </c>
      <c r="M308" s="252"/>
      <c r="N308" s="252"/>
      <c r="O308" s="252"/>
    </row>
    <row r="309" spans="1:15" hidden="1">
      <c r="A309" s="251">
        <v>45712</v>
      </c>
      <c r="B309" s="252" t="s">
        <v>3757</v>
      </c>
      <c r="C309" s="258" t="s">
        <v>173</v>
      </c>
      <c r="D309" s="252" t="s">
        <v>2088</v>
      </c>
      <c r="E309" s="254">
        <v>50000</v>
      </c>
      <c r="F309" s="254">
        <v>81.456865820014855</v>
      </c>
      <c r="G309" s="255">
        <v>613.82180000000005</v>
      </c>
      <c r="H309" s="256" t="s">
        <v>183</v>
      </c>
      <c r="I309" s="256" t="s">
        <v>663</v>
      </c>
      <c r="J309" s="256" t="s">
        <v>97</v>
      </c>
      <c r="K309" s="256" t="s">
        <v>439</v>
      </c>
      <c r="L309" s="256" t="s">
        <v>2086</v>
      </c>
      <c r="M309" s="252"/>
      <c r="N309" s="252"/>
      <c r="O309" s="252"/>
    </row>
    <row r="310" spans="1:15" hidden="1">
      <c r="A310" s="251">
        <v>45712</v>
      </c>
      <c r="B310" s="252" t="s">
        <v>3764</v>
      </c>
      <c r="C310" s="258" t="s">
        <v>173</v>
      </c>
      <c r="D310" s="252" t="s">
        <v>2088</v>
      </c>
      <c r="E310" s="254">
        <v>8000</v>
      </c>
      <c r="F310" s="254">
        <v>13.033098531202377</v>
      </c>
      <c r="G310" s="255">
        <v>613.82180000000005</v>
      </c>
      <c r="H310" s="256" t="s">
        <v>183</v>
      </c>
      <c r="I310" s="256" t="s">
        <v>664</v>
      </c>
      <c r="J310" s="256" t="s">
        <v>97</v>
      </c>
      <c r="K310" s="256" t="s">
        <v>439</v>
      </c>
      <c r="L310" s="256" t="s">
        <v>2086</v>
      </c>
      <c r="M310" s="252"/>
      <c r="N310" s="252"/>
      <c r="O310" s="252"/>
    </row>
    <row r="311" spans="1:15" hidden="1">
      <c r="A311" s="251">
        <v>45712</v>
      </c>
      <c r="B311" s="252" t="s">
        <v>3765</v>
      </c>
      <c r="C311" s="258" t="s">
        <v>173</v>
      </c>
      <c r="D311" s="252" t="s">
        <v>2088</v>
      </c>
      <c r="E311" s="254">
        <v>8000</v>
      </c>
      <c r="F311" s="254">
        <v>13.033098531202377</v>
      </c>
      <c r="G311" s="255">
        <v>613.82180000000005</v>
      </c>
      <c r="H311" s="256" t="s">
        <v>183</v>
      </c>
      <c r="I311" s="256" t="s">
        <v>665</v>
      </c>
      <c r="J311" s="256" t="s">
        <v>97</v>
      </c>
      <c r="K311" s="256" t="s">
        <v>439</v>
      </c>
      <c r="L311" s="256" t="s">
        <v>2086</v>
      </c>
      <c r="M311" s="252"/>
      <c r="N311" s="252"/>
      <c r="O311" s="252"/>
    </row>
    <row r="312" spans="1:15" hidden="1">
      <c r="A312" s="251">
        <v>45712</v>
      </c>
      <c r="B312" s="252" t="s">
        <v>246</v>
      </c>
      <c r="C312" s="258" t="s">
        <v>176</v>
      </c>
      <c r="D312" s="252" t="s">
        <v>2088</v>
      </c>
      <c r="E312" s="254">
        <v>18000</v>
      </c>
      <c r="F312" s="254">
        <v>29.32447169520535</v>
      </c>
      <c r="G312" s="255">
        <v>613.82180000000005</v>
      </c>
      <c r="H312" s="256" t="s">
        <v>186</v>
      </c>
      <c r="I312" s="256" t="s">
        <v>708</v>
      </c>
      <c r="J312" s="256" t="s">
        <v>97</v>
      </c>
      <c r="K312" s="256" t="s">
        <v>439</v>
      </c>
      <c r="L312" s="256" t="s">
        <v>2086</v>
      </c>
      <c r="M312" s="252"/>
      <c r="N312" s="252"/>
      <c r="O312" s="252"/>
    </row>
    <row r="313" spans="1:15" hidden="1">
      <c r="A313" s="251">
        <v>45712</v>
      </c>
      <c r="B313" s="252" t="s">
        <v>709</v>
      </c>
      <c r="C313" s="258" t="s">
        <v>173</v>
      </c>
      <c r="D313" s="252" t="s">
        <v>2088</v>
      </c>
      <c r="E313" s="254">
        <v>25000</v>
      </c>
      <c r="F313" s="254">
        <v>40.728432910007427</v>
      </c>
      <c r="G313" s="255">
        <v>613.82180000000005</v>
      </c>
      <c r="H313" s="256" t="s">
        <v>186</v>
      </c>
      <c r="I313" s="256" t="s">
        <v>710</v>
      </c>
      <c r="J313" s="256" t="s">
        <v>97</v>
      </c>
      <c r="K313" s="256" t="s">
        <v>439</v>
      </c>
      <c r="L313" s="256" t="s">
        <v>2086</v>
      </c>
      <c r="M313" s="252"/>
      <c r="N313" s="252"/>
      <c r="O313" s="252"/>
    </row>
    <row r="314" spans="1:15" hidden="1">
      <c r="A314" s="251">
        <v>45712</v>
      </c>
      <c r="B314" s="252" t="s">
        <v>514</v>
      </c>
      <c r="C314" s="258" t="s">
        <v>176</v>
      </c>
      <c r="D314" s="253" t="s">
        <v>116</v>
      </c>
      <c r="E314" s="254">
        <v>5100</v>
      </c>
      <c r="F314" s="254">
        <v>8.3086003136415147</v>
      </c>
      <c r="G314" s="255">
        <v>613.82180000000005</v>
      </c>
      <c r="H314" s="256" t="s">
        <v>189</v>
      </c>
      <c r="I314" s="256" t="s">
        <v>515</v>
      </c>
      <c r="J314" s="256" t="s">
        <v>97</v>
      </c>
      <c r="K314" s="256" t="s">
        <v>439</v>
      </c>
      <c r="L314" s="256" t="s">
        <v>2086</v>
      </c>
      <c r="M314" s="252"/>
      <c r="N314" s="252"/>
      <c r="O314" s="252"/>
    </row>
    <row r="315" spans="1:15" hidden="1">
      <c r="A315" s="251">
        <v>45712</v>
      </c>
      <c r="B315" s="252" t="s">
        <v>775</v>
      </c>
      <c r="C315" s="259" t="s">
        <v>2087</v>
      </c>
      <c r="D315" s="252" t="s">
        <v>117</v>
      </c>
      <c r="E315" s="254">
        <v>8100</v>
      </c>
      <c r="F315" s="254">
        <v>13.196012262842407</v>
      </c>
      <c r="G315" s="255">
        <v>613.82180000000005</v>
      </c>
      <c r="H315" s="256" t="s">
        <v>192</v>
      </c>
      <c r="I315" s="256" t="s">
        <v>611</v>
      </c>
      <c r="J315" s="256" t="s">
        <v>97</v>
      </c>
      <c r="K315" s="256" t="s">
        <v>439</v>
      </c>
      <c r="L315" s="256" t="s">
        <v>2086</v>
      </c>
      <c r="M315" s="252"/>
      <c r="N315" s="252"/>
      <c r="O315" s="252"/>
    </row>
    <row r="316" spans="1:15" hidden="1">
      <c r="A316" s="251">
        <v>45712</v>
      </c>
      <c r="B316" s="252" t="s">
        <v>261</v>
      </c>
      <c r="C316" s="258" t="s">
        <v>176</v>
      </c>
      <c r="D316" s="252" t="s">
        <v>2088</v>
      </c>
      <c r="E316" s="254">
        <v>9800</v>
      </c>
      <c r="F316" s="254">
        <v>15.965545700722911</v>
      </c>
      <c r="G316" s="255">
        <v>613.82180000000005</v>
      </c>
      <c r="H316" s="256" t="s">
        <v>212</v>
      </c>
      <c r="I316" s="256" t="s">
        <v>490</v>
      </c>
      <c r="J316" s="256" t="s">
        <v>97</v>
      </c>
      <c r="K316" s="256" t="s">
        <v>439</v>
      </c>
      <c r="L316" s="256" t="s">
        <v>2086</v>
      </c>
      <c r="M316" s="252"/>
      <c r="N316" s="252"/>
      <c r="O316" s="252"/>
    </row>
    <row r="317" spans="1:15" hidden="1">
      <c r="A317" s="251">
        <v>45713</v>
      </c>
      <c r="B317" s="252" t="s">
        <v>640</v>
      </c>
      <c r="C317" s="258" t="s">
        <v>173</v>
      </c>
      <c r="D317" s="253" t="s">
        <v>118</v>
      </c>
      <c r="E317" s="254">
        <v>7000</v>
      </c>
      <c r="F317" s="254">
        <v>11.403961214802081</v>
      </c>
      <c r="G317" s="255">
        <v>613.82180000000005</v>
      </c>
      <c r="H317" s="256" t="s">
        <v>152</v>
      </c>
      <c r="I317" s="256" t="s">
        <v>641</v>
      </c>
      <c r="J317" s="256" t="s">
        <v>97</v>
      </c>
      <c r="K317" s="256" t="s">
        <v>439</v>
      </c>
      <c r="L317" s="256" t="s">
        <v>2086</v>
      </c>
      <c r="M317" s="252"/>
      <c r="N317" s="252"/>
      <c r="O317" s="252"/>
    </row>
    <row r="318" spans="1:15" hidden="1">
      <c r="A318" s="251">
        <v>45713</v>
      </c>
      <c r="B318" s="252" t="s">
        <v>642</v>
      </c>
      <c r="C318" s="258" t="s">
        <v>176</v>
      </c>
      <c r="D318" s="253" t="s">
        <v>118</v>
      </c>
      <c r="E318" s="254">
        <v>150000</v>
      </c>
      <c r="F318" s="254">
        <v>244.37059746004456</v>
      </c>
      <c r="G318" s="255">
        <v>613.82180000000005</v>
      </c>
      <c r="H318" s="256" t="s">
        <v>152</v>
      </c>
      <c r="I318" s="256" t="s">
        <v>643</v>
      </c>
      <c r="J318" s="256" t="s">
        <v>97</v>
      </c>
      <c r="K318" s="256" t="s">
        <v>439</v>
      </c>
      <c r="L318" s="256" t="s">
        <v>2086</v>
      </c>
      <c r="M318" s="252"/>
      <c r="N318" s="252"/>
      <c r="O318" s="252"/>
    </row>
    <row r="319" spans="1:15" hidden="1">
      <c r="A319" s="251">
        <v>45713</v>
      </c>
      <c r="B319" s="252" t="s">
        <v>527</v>
      </c>
      <c r="C319" s="252" t="s">
        <v>264</v>
      </c>
      <c r="D319" s="252" t="s">
        <v>2088</v>
      </c>
      <c r="E319" s="254">
        <v>180000</v>
      </c>
      <c r="F319" s="254">
        <v>293.24471695205347</v>
      </c>
      <c r="G319" s="255">
        <v>613.82180000000005</v>
      </c>
      <c r="H319" s="256" t="s">
        <v>199</v>
      </c>
      <c r="I319" s="256" t="s">
        <v>528</v>
      </c>
      <c r="J319" s="256" t="s">
        <v>97</v>
      </c>
      <c r="K319" s="256" t="s">
        <v>439</v>
      </c>
      <c r="L319" s="256" t="s">
        <v>2086</v>
      </c>
      <c r="M319" s="252"/>
      <c r="N319" s="252"/>
      <c r="O319" s="252"/>
    </row>
    <row r="320" spans="1:15" hidden="1">
      <c r="A320" s="251">
        <v>45713</v>
      </c>
      <c r="B320" s="252" t="s">
        <v>529</v>
      </c>
      <c r="C320" s="252" t="s">
        <v>264</v>
      </c>
      <c r="D320" s="252" t="s">
        <v>2088</v>
      </c>
      <c r="E320" s="254">
        <v>20000</v>
      </c>
      <c r="F320" s="254">
        <v>32.582746328005946</v>
      </c>
      <c r="G320" s="255">
        <v>613.82180000000005</v>
      </c>
      <c r="H320" s="256" t="s">
        <v>199</v>
      </c>
      <c r="I320" s="256" t="s">
        <v>530</v>
      </c>
      <c r="J320" s="256" t="s">
        <v>97</v>
      </c>
      <c r="K320" s="256" t="s">
        <v>439</v>
      </c>
      <c r="L320" s="256" t="s">
        <v>2086</v>
      </c>
      <c r="M320" s="252"/>
      <c r="N320" s="252"/>
      <c r="O320" s="252"/>
    </row>
    <row r="321" spans="1:15" hidden="1">
      <c r="A321" s="251">
        <v>45713</v>
      </c>
      <c r="B321" s="252" t="s">
        <v>3766</v>
      </c>
      <c r="C321" s="258" t="s">
        <v>176</v>
      </c>
      <c r="D321" s="252" t="s">
        <v>2088</v>
      </c>
      <c r="E321" s="254">
        <v>105000</v>
      </c>
      <c r="F321" s="254">
        <v>181.26853794494306</v>
      </c>
      <c r="G321" s="255">
        <v>579.25099999999998</v>
      </c>
      <c r="H321" s="256" t="s">
        <v>183</v>
      </c>
      <c r="I321" s="256" t="s">
        <v>666</v>
      </c>
      <c r="J321" s="256" t="s">
        <v>97</v>
      </c>
      <c r="K321" s="260" t="s">
        <v>201</v>
      </c>
      <c r="L321" s="256" t="s">
        <v>2086</v>
      </c>
      <c r="M321" s="252"/>
      <c r="N321" s="252"/>
      <c r="O321" s="252"/>
    </row>
    <row r="322" spans="1:15" hidden="1">
      <c r="A322" s="251">
        <v>45713</v>
      </c>
      <c r="B322" s="252" t="s">
        <v>3767</v>
      </c>
      <c r="C322" s="258" t="s">
        <v>176</v>
      </c>
      <c r="D322" s="252" t="s">
        <v>2088</v>
      </c>
      <c r="E322" s="254">
        <v>105000</v>
      </c>
      <c r="F322" s="254">
        <v>181.26853794494306</v>
      </c>
      <c r="G322" s="255">
        <v>579.25099999999998</v>
      </c>
      <c r="H322" s="256" t="s">
        <v>183</v>
      </c>
      <c r="I322" s="256" t="s">
        <v>667</v>
      </c>
      <c r="J322" s="256" t="s">
        <v>97</v>
      </c>
      <c r="K322" s="260" t="s">
        <v>201</v>
      </c>
      <c r="L322" s="256" t="s">
        <v>2086</v>
      </c>
      <c r="M322" s="252"/>
      <c r="N322" s="252"/>
      <c r="O322" s="252"/>
    </row>
    <row r="323" spans="1:15" hidden="1">
      <c r="A323" s="251">
        <v>45713</v>
      </c>
      <c r="B323" s="252" t="s">
        <v>3689</v>
      </c>
      <c r="C323" s="258" t="s">
        <v>173</v>
      </c>
      <c r="D323" s="253" t="s">
        <v>442</v>
      </c>
      <c r="E323" s="254">
        <v>7000</v>
      </c>
      <c r="F323" s="254">
        <v>11.403961214802081</v>
      </c>
      <c r="G323" s="255">
        <v>613.82180000000005</v>
      </c>
      <c r="H323" s="256" t="s">
        <v>316</v>
      </c>
      <c r="I323" s="256" t="s">
        <v>757</v>
      </c>
      <c r="J323" s="256" t="s">
        <v>97</v>
      </c>
      <c r="K323" s="256" t="s">
        <v>439</v>
      </c>
      <c r="L323" s="256" t="s">
        <v>2086</v>
      </c>
      <c r="M323" s="252"/>
      <c r="N323" s="252"/>
      <c r="O323" s="252"/>
    </row>
    <row r="324" spans="1:15" hidden="1">
      <c r="A324" s="251">
        <v>45713</v>
      </c>
      <c r="B324" s="252" t="s">
        <v>711</v>
      </c>
      <c r="C324" s="258" t="s">
        <v>176</v>
      </c>
      <c r="D324" s="253" t="s">
        <v>116</v>
      </c>
      <c r="E324" s="254">
        <v>150000</v>
      </c>
      <c r="F324" s="254">
        <v>244.37059746004456</v>
      </c>
      <c r="G324" s="255">
        <v>613.82180000000005</v>
      </c>
      <c r="H324" s="256" t="s">
        <v>186</v>
      </c>
      <c r="I324" s="256" t="s">
        <v>712</v>
      </c>
      <c r="J324" s="256" t="s">
        <v>97</v>
      </c>
      <c r="K324" s="256" t="s">
        <v>439</v>
      </c>
      <c r="L324" s="256" t="s">
        <v>2086</v>
      </c>
      <c r="M324" s="252"/>
      <c r="N324" s="252"/>
      <c r="O324" s="252"/>
    </row>
    <row r="325" spans="1:15" hidden="1">
      <c r="A325" s="251">
        <v>45713</v>
      </c>
      <c r="B325" s="252" t="s">
        <v>491</v>
      </c>
      <c r="C325" s="258" t="s">
        <v>176</v>
      </c>
      <c r="D325" s="252" t="s">
        <v>119</v>
      </c>
      <c r="E325" s="254">
        <v>150000</v>
      </c>
      <c r="F325" s="254">
        <v>244.37059746004456</v>
      </c>
      <c r="G325" s="255">
        <v>613.82180000000005</v>
      </c>
      <c r="H325" s="256" t="s">
        <v>212</v>
      </c>
      <c r="I325" s="256" t="s">
        <v>492</v>
      </c>
      <c r="J325" s="256" t="s">
        <v>97</v>
      </c>
      <c r="K325" s="256" t="s">
        <v>439</v>
      </c>
      <c r="L325" s="256" t="s">
        <v>2086</v>
      </c>
      <c r="M325" s="252"/>
      <c r="N325" s="252"/>
      <c r="O325" s="252"/>
    </row>
    <row r="326" spans="1:15" hidden="1">
      <c r="A326" s="251">
        <v>45714</v>
      </c>
      <c r="B326" s="252" t="s">
        <v>615</v>
      </c>
      <c r="C326" s="252" t="s">
        <v>255</v>
      </c>
      <c r="D326" s="253" t="s">
        <v>116</v>
      </c>
      <c r="E326" s="254">
        <v>148000</v>
      </c>
      <c r="F326" s="254">
        <v>241.11232282724399</v>
      </c>
      <c r="G326" s="255">
        <v>613.82180000000005</v>
      </c>
      <c r="H326" s="256" t="s">
        <v>156</v>
      </c>
      <c r="I326" s="256" t="s">
        <v>616</v>
      </c>
      <c r="J326" s="256" t="s">
        <v>97</v>
      </c>
      <c r="K326" s="256" t="s">
        <v>439</v>
      </c>
      <c r="L326" s="256" t="s">
        <v>2086</v>
      </c>
      <c r="M326" s="252"/>
      <c r="N326" s="252"/>
      <c r="O326" s="252"/>
    </row>
    <row r="327" spans="1:15" hidden="1">
      <c r="A327" s="251">
        <v>45714</v>
      </c>
      <c r="B327" s="252" t="s">
        <v>607</v>
      </c>
      <c r="C327" s="259" t="s">
        <v>2087</v>
      </c>
      <c r="D327" s="252" t="s">
        <v>117</v>
      </c>
      <c r="E327" s="254">
        <v>10980</v>
      </c>
      <c r="F327" s="254">
        <v>17.887927734075262</v>
      </c>
      <c r="G327" s="255">
        <v>613.82180000000005</v>
      </c>
      <c r="H327" s="256" t="s">
        <v>583</v>
      </c>
      <c r="I327" s="256" t="s">
        <v>614</v>
      </c>
      <c r="J327" s="256" t="s">
        <v>97</v>
      </c>
      <c r="K327" s="256" t="s">
        <v>439</v>
      </c>
      <c r="L327" s="256" t="s">
        <v>2086</v>
      </c>
      <c r="M327" s="252"/>
      <c r="N327" s="252"/>
      <c r="O327" s="252"/>
    </row>
    <row r="328" spans="1:15" hidden="1">
      <c r="A328" s="251">
        <v>45714</v>
      </c>
      <c r="B328" s="252" t="s">
        <v>3697</v>
      </c>
      <c r="C328" s="258" t="s">
        <v>176</v>
      </c>
      <c r="D328" s="253" t="s">
        <v>442</v>
      </c>
      <c r="E328" s="254">
        <v>20000</v>
      </c>
      <c r="F328" s="254">
        <v>32.582746328005946</v>
      </c>
      <c r="G328" s="255">
        <v>613.82180000000005</v>
      </c>
      <c r="H328" s="256" t="s">
        <v>316</v>
      </c>
      <c r="I328" s="256" t="s">
        <v>758</v>
      </c>
      <c r="J328" s="256" t="s">
        <v>97</v>
      </c>
      <c r="K328" s="256" t="s">
        <v>439</v>
      </c>
      <c r="L328" s="256" t="s">
        <v>2086</v>
      </c>
      <c r="M328" s="252"/>
      <c r="N328" s="252"/>
      <c r="O328" s="252"/>
    </row>
    <row r="329" spans="1:15" hidden="1">
      <c r="A329" s="251">
        <v>45714</v>
      </c>
      <c r="B329" s="252" t="s">
        <v>695</v>
      </c>
      <c r="C329" s="258" t="s">
        <v>173</v>
      </c>
      <c r="D329" s="253" t="s">
        <v>442</v>
      </c>
      <c r="E329" s="254">
        <v>40100</v>
      </c>
      <c r="F329" s="254">
        <v>65.32840638765191</v>
      </c>
      <c r="G329" s="255">
        <v>613.82180000000005</v>
      </c>
      <c r="H329" s="256" t="s">
        <v>322</v>
      </c>
      <c r="I329" s="256" t="s">
        <v>696</v>
      </c>
      <c r="J329" s="256" t="s">
        <v>97</v>
      </c>
      <c r="K329" s="256" t="s">
        <v>439</v>
      </c>
      <c r="L329" s="256" t="s">
        <v>2086</v>
      </c>
      <c r="M329" s="252"/>
      <c r="N329" s="252"/>
      <c r="O329" s="252"/>
    </row>
    <row r="330" spans="1:15" hidden="1">
      <c r="A330" s="251">
        <v>45714</v>
      </c>
      <c r="B330" s="252" t="s">
        <v>516</v>
      </c>
      <c r="C330" s="252" t="s">
        <v>312</v>
      </c>
      <c r="D330" s="253" t="s">
        <v>2088</v>
      </c>
      <c r="E330" s="254">
        <v>4000</v>
      </c>
      <c r="F330" s="254">
        <v>6.9054681121883075</v>
      </c>
      <c r="G330" s="255">
        <v>579.25099999999998</v>
      </c>
      <c r="H330" s="256" t="s">
        <v>189</v>
      </c>
      <c r="I330" s="256" t="s">
        <v>517</v>
      </c>
      <c r="J330" s="256" t="s">
        <v>97</v>
      </c>
      <c r="K330" s="260" t="s">
        <v>201</v>
      </c>
      <c r="L330" s="256" t="s">
        <v>2086</v>
      </c>
      <c r="M330" s="252"/>
      <c r="N330" s="252"/>
      <c r="O330" s="252"/>
    </row>
    <row r="331" spans="1:15" hidden="1">
      <c r="A331" s="251">
        <v>45715</v>
      </c>
      <c r="B331" s="252" t="s">
        <v>617</v>
      </c>
      <c r="C331" s="258" t="s">
        <v>303</v>
      </c>
      <c r="D331" s="252" t="s">
        <v>117</v>
      </c>
      <c r="E331" s="254">
        <v>20000</v>
      </c>
      <c r="F331" s="254">
        <v>34.527340560941539</v>
      </c>
      <c r="G331" s="255">
        <v>579.25099999999998</v>
      </c>
      <c r="H331" s="256" t="s">
        <v>156</v>
      </c>
      <c r="I331" s="256" t="s">
        <v>618</v>
      </c>
      <c r="J331" s="256" t="s">
        <v>97</v>
      </c>
      <c r="K331" s="260" t="s">
        <v>201</v>
      </c>
      <c r="L331" s="256" t="s">
        <v>2086</v>
      </c>
      <c r="M331" s="252"/>
      <c r="N331" s="252"/>
      <c r="O331" s="252"/>
    </row>
    <row r="332" spans="1:15" hidden="1">
      <c r="A332" s="251">
        <v>45715</v>
      </c>
      <c r="B332" s="252" t="s">
        <v>759</v>
      </c>
      <c r="C332" s="258" t="s">
        <v>365</v>
      </c>
      <c r="D332" s="253" t="s">
        <v>442</v>
      </c>
      <c r="E332" s="254">
        <v>29000</v>
      </c>
      <c r="F332" s="254">
        <v>50.06464381336523</v>
      </c>
      <c r="G332" s="255">
        <v>579.25099999999998</v>
      </c>
      <c r="H332" s="256" t="s">
        <v>316</v>
      </c>
      <c r="I332" s="256" t="s">
        <v>760</v>
      </c>
      <c r="J332" s="256" t="s">
        <v>97</v>
      </c>
      <c r="K332" s="260" t="s">
        <v>201</v>
      </c>
      <c r="L332" s="256" t="s">
        <v>2086</v>
      </c>
      <c r="M332" s="252"/>
      <c r="N332" s="252"/>
      <c r="O332" s="252"/>
    </row>
    <row r="333" spans="1:15" hidden="1">
      <c r="A333" s="251">
        <v>45715</v>
      </c>
      <c r="B333" s="252" t="s">
        <v>731</v>
      </c>
      <c r="C333" s="258" t="s">
        <v>173</v>
      </c>
      <c r="D333" s="253" t="s">
        <v>116</v>
      </c>
      <c r="E333" s="254">
        <v>26900</v>
      </c>
      <c r="F333" s="254">
        <v>46.439273054466369</v>
      </c>
      <c r="G333" s="255">
        <v>579.25099999999998</v>
      </c>
      <c r="H333" s="256" t="s">
        <v>192</v>
      </c>
      <c r="I333" s="256" t="s">
        <v>732</v>
      </c>
      <c r="J333" s="256" t="s">
        <v>97</v>
      </c>
      <c r="K333" s="260" t="s">
        <v>201</v>
      </c>
      <c r="L333" s="256" t="s">
        <v>2086</v>
      </c>
      <c r="M333" s="252"/>
      <c r="N333" s="252"/>
      <c r="O333" s="252"/>
    </row>
    <row r="334" spans="1:15" hidden="1">
      <c r="A334" s="251">
        <v>45715</v>
      </c>
      <c r="B334" s="252" t="s">
        <v>619</v>
      </c>
      <c r="C334" s="259" t="s">
        <v>2087</v>
      </c>
      <c r="D334" s="252" t="s">
        <v>117</v>
      </c>
      <c r="E334" s="254">
        <v>560</v>
      </c>
      <c r="F334" s="254">
        <v>0.93929314835967548</v>
      </c>
      <c r="G334" s="255">
        <v>596.19299999999998</v>
      </c>
      <c r="H334" s="256" t="s">
        <v>192</v>
      </c>
      <c r="I334" s="256" t="s">
        <v>620</v>
      </c>
      <c r="J334" s="256" t="s">
        <v>97</v>
      </c>
      <c r="K334" s="256" t="s">
        <v>1902</v>
      </c>
      <c r="L334" s="256" t="s">
        <v>2086</v>
      </c>
      <c r="M334" s="252"/>
      <c r="N334" s="252"/>
      <c r="O334" s="252"/>
    </row>
    <row r="335" spans="1:15" hidden="1">
      <c r="A335" s="251">
        <v>45715</v>
      </c>
      <c r="B335" s="252" t="s">
        <v>650</v>
      </c>
      <c r="C335" s="258" t="s">
        <v>173</v>
      </c>
      <c r="D335" s="252" t="s">
        <v>117</v>
      </c>
      <c r="E335" s="254">
        <v>7000</v>
      </c>
      <c r="F335" s="254">
        <v>11.741164354495943</v>
      </c>
      <c r="G335" s="255">
        <v>579.25099999999998</v>
      </c>
      <c r="H335" s="256" t="s">
        <v>583</v>
      </c>
      <c r="I335" s="256" t="s">
        <v>651</v>
      </c>
      <c r="J335" s="256" t="s">
        <v>97</v>
      </c>
      <c r="K335" s="260" t="s">
        <v>201</v>
      </c>
      <c r="L335" s="256" t="s">
        <v>2086</v>
      </c>
      <c r="M335" s="252"/>
      <c r="N335" s="252"/>
      <c r="O335" s="252"/>
    </row>
    <row r="336" spans="1:15" hidden="1">
      <c r="A336" s="251">
        <v>45716</v>
      </c>
      <c r="B336" s="252" t="s">
        <v>644</v>
      </c>
      <c r="C336" s="258" t="s">
        <v>173</v>
      </c>
      <c r="D336" s="253" t="s">
        <v>118</v>
      </c>
      <c r="E336" s="254">
        <v>39500</v>
      </c>
      <c r="F336" s="254">
        <v>68.191497607859532</v>
      </c>
      <c r="G336" s="255">
        <v>579.25099999999998</v>
      </c>
      <c r="H336" s="256" t="s">
        <v>152</v>
      </c>
      <c r="I336" s="256" t="s">
        <v>645</v>
      </c>
      <c r="J336" s="256" t="s">
        <v>97</v>
      </c>
      <c r="K336" s="260" t="s">
        <v>201</v>
      </c>
      <c r="L336" s="256" t="s">
        <v>2086</v>
      </c>
      <c r="M336" s="252"/>
      <c r="N336" s="252"/>
      <c r="O336" s="252"/>
    </row>
    <row r="337" spans="1:15" hidden="1">
      <c r="A337" s="251">
        <v>45716</v>
      </c>
      <c r="B337" s="252" t="s">
        <v>531</v>
      </c>
      <c r="C337" s="258" t="s">
        <v>173</v>
      </c>
      <c r="D337" s="253" t="s">
        <v>116</v>
      </c>
      <c r="E337" s="254">
        <v>14000</v>
      </c>
      <c r="F337" s="254">
        <v>24.169138392659075</v>
      </c>
      <c r="G337" s="255">
        <v>579.25099999999998</v>
      </c>
      <c r="H337" s="256" t="s">
        <v>199</v>
      </c>
      <c r="I337" s="256" t="s">
        <v>532</v>
      </c>
      <c r="J337" s="256" t="s">
        <v>97</v>
      </c>
      <c r="K337" s="260" t="s">
        <v>201</v>
      </c>
      <c r="L337" s="256" t="s">
        <v>2086</v>
      </c>
      <c r="M337" s="252"/>
      <c r="N337" s="252"/>
      <c r="O337" s="252"/>
    </row>
    <row r="338" spans="1:15" hidden="1">
      <c r="A338" s="251">
        <v>45716</v>
      </c>
      <c r="B338" s="252" t="s">
        <v>646</v>
      </c>
      <c r="C338" s="258" t="s">
        <v>173</v>
      </c>
      <c r="D338" s="252" t="s">
        <v>117</v>
      </c>
      <c r="E338" s="254">
        <v>35500</v>
      </c>
      <c r="F338" s="254">
        <v>61.286029495671229</v>
      </c>
      <c r="G338" s="255">
        <v>579.25099999999998</v>
      </c>
      <c r="H338" s="256" t="s">
        <v>156</v>
      </c>
      <c r="I338" s="256" t="s">
        <v>647</v>
      </c>
      <c r="J338" s="256" t="s">
        <v>97</v>
      </c>
      <c r="K338" s="260" t="s">
        <v>201</v>
      </c>
      <c r="L338" s="256" t="s">
        <v>2086</v>
      </c>
      <c r="M338" s="252"/>
      <c r="N338" s="252"/>
      <c r="O338" s="252"/>
    </row>
    <row r="339" spans="1:15" hidden="1">
      <c r="A339" s="251">
        <v>45716</v>
      </c>
      <c r="B339" s="252" t="s">
        <v>621</v>
      </c>
      <c r="C339" s="258" t="s">
        <v>303</v>
      </c>
      <c r="D339" s="252" t="s">
        <v>117</v>
      </c>
      <c r="E339" s="254">
        <v>6000</v>
      </c>
      <c r="F339" s="254">
        <v>10.35820216828246</v>
      </c>
      <c r="G339" s="255">
        <v>579.25099999999998</v>
      </c>
      <c r="H339" s="256" t="s">
        <v>156</v>
      </c>
      <c r="I339" s="256" t="s">
        <v>622</v>
      </c>
      <c r="J339" s="256" t="s">
        <v>97</v>
      </c>
      <c r="K339" s="260" t="s">
        <v>201</v>
      </c>
      <c r="L339" s="256" t="s">
        <v>2086</v>
      </c>
      <c r="M339" s="252"/>
      <c r="N339" s="252"/>
      <c r="O339" s="252"/>
    </row>
    <row r="340" spans="1:15" hidden="1">
      <c r="A340" s="251">
        <v>45716</v>
      </c>
      <c r="B340" s="252" t="s">
        <v>625</v>
      </c>
      <c r="C340" s="252" t="s">
        <v>626</v>
      </c>
      <c r="D340" s="252" t="s">
        <v>117</v>
      </c>
      <c r="E340" s="254">
        <v>45050</v>
      </c>
      <c r="F340" s="254">
        <v>77.772834613520814</v>
      </c>
      <c r="G340" s="255">
        <v>579.25099999999998</v>
      </c>
      <c r="H340" s="256" t="s">
        <v>156</v>
      </c>
      <c r="I340" s="256" t="s">
        <v>627</v>
      </c>
      <c r="J340" s="256" t="s">
        <v>97</v>
      </c>
      <c r="K340" s="260" t="s">
        <v>201</v>
      </c>
      <c r="L340" s="256" t="s">
        <v>2086</v>
      </c>
      <c r="M340" s="252"/>
      <c r="N340" s="252"/>
      <c r="O340" s="252"/>
    </row>
    <row r="341" spans="1:15" hidden="1">
      <c r="A341" s="251">
        <v>45716</v>
      </c>
      <c r="B341" s="252" t="s">
        <v>630</v>
      </c>
      <c r="C341" s="258" t="s">
        <v>1164</v>
      </c>
      <c r="D341" s="252" t="s">
        <v>117</v>
      </c>
      <c r="E341" s="254">
        <v>182000</v>
      </c>
      <c r="F341" s="254">
        <v>314.19879910456797</v>
      </c>
      <c r="G341" s="255">
        <v>579.25099999999998</v>
      </c>
      <c r="H341" s="256" t="s">
        <v>156</v>
      </c>
      <c r="I341" s="256" t="s">
        <v>631</v>
      </c>
      <c r="J341" s="256" t="s">
        <v>97</v>
      </c>
      <c r="K341" s="260" t="s">
        <v>201</v>
      </c>
      <c r="L341" s="256" t="s">
        <v>2086</v>
      </c>
      <c r="M341" s="252"/>
      <c r="N341" s="252"/>
      <c r="O341" s="252"/>
    </row>
    <row r="342" spans="1:15" hidden="1">
      <c r="A342" s="251">
        <v>45716</v>
      </c>
      <c r="B342" s="252" t="s">
        <v>632</v>
      </c>
      <c r="C342" s="252" t="s">
        <v>126</v>
      </c>
      <c r="D342" s="252" t="s">
        <v>117</v>
      </c>
      <c r="E342" s="254">
        <v>10500</v>
      </c>
      <c r="F342" s="254">
        <v>18.126853794494306</v>
      </c>
      <c r="G342" s="255">
        <v>579.25099999999998</v>
      </c>
      <c r="H342" s="256" t="s">
        <v>156</v>
      </c>
      <c r="I342" s="256" t="s">
        <v>633</v>
      </c>
      <c r="J342" s="256" t="s">
        <v>97</v>
      </c>
      <c r="K342" s="260" t="s">
        <v>201</v>
      </c>
      <c r="L342" s="256" t="s">
        <v>2086</v>
      </c>
      <c r="M342" s="252"/>
      <c r="N342" s="252"/>
      <c r="O342" s="252"/>
    </row>
    <row r="343" spans="1:15" hidden="1">
      <c r="A343" s="251">
        <v>45716</v>
      </c>
      <c r="B343" s="252" t="s">
        <v>623</v>
      </c>
      <c r="C343" s="259" t="s">
        <v>2087</v>
      </c>
      <c r="D343" s="252" t="s">
        <v>117</v>
      </c>
      <c r="E343" s="254">
        <v>7020</v>
      </c>
      <c r="F343" s="254">
        <v>12.119096536890479</v>
      </c>
      <c r="G343" s="255">
        <v>579.25099999999998</v>
      </c>
      <c r="H343" s="256" t="s">
        <v>583</v>
      </c>
      <c r="I343" s="261" t="s">
        <v>624</v>
      </c>
      <c r="J343" s="256" t="s">
        <v>97</v>
      </c>
      <c r="K343" s="260" t="s">
        <v>201</v>
      </c>
      <c r="L343" s="256" t="s">
        <v>2086</v>
      </c>
      <c r="M343" s="252"/>
      <c r="N343" s="252"/>
      <c r="O343" s="252"/>
    </row>
    <row r="344" spans="1:15" hidden="1">
      <c r="A344" s="251">
        <v>45716</v>
      </c>
      <c r="B344" s="252" t="s">
        <v>628</v>
      </c>
      <c r="C344" s="258" t="s">
        <v>303</v>
      </c>
      <c r="D344" s="252" t="s">
        <v>117</v>
      </c>
      <c r="E344" s="254">
        <v>75625</v>
      </c>
      <c r="F344" s="254">
        <v>130.55650649606019</v>
      </c>
      <c r="G344" s="255">
        <v>579.25099999999998</v>
      </c>
      <c r="H344" s="256" t="s">
        <v>583</v>
      </c>
      <c r="I344" s="261" t="s">
        <v>629</v>
      </c>
      <c r="J344" s="256" t="s">
        <v>97</v>
      </c>
      <c r="K344" s="260" t="s">
        <v>201</v>
      </c>
      <c r="L344" s="256" t="s">
        <v>2086</v>
      </c>
      <c r="M344" s="252"/>
      <c r="N344" s="252"/>
      <c r="O344" s="252"/>
    </row>
    <row r="345" spans="1:15" hidden="1">
      <c r="A345" s="251">
        <v>45716</v>
      </c>
      <c r="B345" s="252" t="s">
        <v>3768</v>
      </c>
      <c r="C345" s="258" t="s">
        <v>173</v>
      </c>
      <c r="D345" s="253" t="s">
        <v>442</v>
      </c>
      <c r="E345" s="254">
        <v>6000</v>
      </c>
      <c r="F345" s="254">
        <v>10.35820216828246</v>
      </c>
      <c r="G345" s="255">
        <v>579.25099999999998</v>
      </c>
      <c r="H345" s="257" t="s">
        <v>183</v>
      </c>
      <c r="I345" s="257" t="s">
        <v>668</v>
      </c>
      <c r="J345" s="256" t="s">
        <v>97</v>
      </c>
      <c r="K345" s="260" t="s">
        <v>201</v>
      </c>
      <c r="L345" s="256" t="s">
        <v>2086</v>
      </c>
      <c r="M345" s="252"/>
      <c r="N345" s="252"/>
      <c r="O345" s="252"/>
    </row>
    <row r="346" spans="1:15" hidden="1">
      <c r="A346" s="251">
        <v>45716</v>
      </c>
      <c r="B346" s="252" t="s">
        <v>3756</v>
      </c>
      <c r="C346" s="258" t="s">
        <v>176</v>
      </c>
      <c r="D346" s="253" t="s">
        <v>442</v>
      </c>
      <c r="E346" s="254">
        <v>60000</v>
      </c>
      <c r="F346" s="254">
        <v>103.5820216828246</v>
      </c>
      <c r="G346" s="255">
        <v>579.25099999999998</v>
      </c>
      <c r="H346" s="257" t="s">
        <v>183</v>
      </c>
      <c r="I346" s="257" t="s">
        <v>669</v>
      </c>
      <c r="J346" s="256" t="s">
        <v>97</v>
      </c>
      <c r="K346" s="260" t="s">
        <v>201</v>
      </c>
      <c r="L346" s="256" t="s">
        <v>2086</v>
      </c>
      <c r="M346" s="252"/>
      <c r="N346" s="252"/>
      <c r="O346" s="252"/>
    </row>
    <row r="347" spans="1:15" hidden="1">
      <c r="A347" s="251">
        <v>45716</v>
      </c>
      <c r="B347" s="252" t="s">
        <v>670</v>
      </c>
      <c r="C347" s="258" t="s">
        <v>173</v>
      </c>
      <c r="D347" s="253" t="s">
        <v>442</v>
      </c>
      <c r="E347" s="254">
        <v>66800</v>
      </c>
      <c r="F347" s="254">
        <v>115.32131747354472</v>
      </c>
      <c r="G347" s="255">
        <v>579.25099999999998</v>
      </c>
      <c r="H347" s="257" t="s">
        <v>183</v>
      </c>
      <c r="I347" s="257" t="s">
        <v>671</v>
      </c>
      <c r="J347" s="256" t="s">
        <v>97</v>
      </c>
      <c r="K347" s="260" t="s">
        <v>201</v>
      </c>
      <c r="L347" s="256" t="s">
        <v>2086</v>
      </c>
      <c r="M347" s="252"/>
      <c r="N347" s="252"/>
      <c r="O347" s="252"/>
    </row>
    <row r="348" spans="1:15" hidden="1">
      <c r="A348" s="251">
        <v>45716</v>
      </c>
      <c r="B348" s="252" t="s">
        <v>3867</v>
      </c>
      <c r="C348" s="258" t="s">
        <v>176</v>
      </c>
      <c r="D348" s="253" t="s">
        <v>442</v>
      </c>
      <c r="E348" s="254">
        <v>60000</v>
      </c>
      <c r="F348" s="254">
        <v>103.5820216828246</v>
      </c>
      <c r="G348" s="255">
        <v>579.25099999999998</v>
      </c>
      <c r="H348" s="256" t="s">
        <v>174</v>
      </c>
      <c r="I348" s="256" t="s">
        <v>679</v>
      </c>
      <c r="J348" s="256" t="s">
        <v>97</v>
      </c>
      <c r="K348" s="260" t="s">
        <v>201</v>
      </c>
      <c r="L348" s="256" t="s">
        <v>2086</v>
      </c>
      <c r="M348" s="252"/>
      <c r="N348" s="252"/>
      <c r="O348" s="252"/>
    </row>
    <row r="349" spans="1:15" hidden="1">
      <c r="A349" s="251">
        <v>45716</v>
      </c>
      <c r="B349" s="252" t="s">
        <v>3878</v>
      </c>
      <c r="C349" s="258" t="s">
        <v>173</v>
      </c>
      <c r="D349" s="253" t="s">
        <v>442</v>
      </c>
      <c r="E349" s="254">
        <v>6000</v>
      </c>
      <c r="F349" s="254">
        <v>10.35820216828246</v>
      </c>
      <c r="G349" s="255">
        <v>579.25099999999998</v>
      </c>
      <c r="H349" s="256" t="s">
        <v>174</v>
      </c>
      <c r="I349" s="256" t="s">
        <v>680</v>
      </c>
      <c r="J349" s="256" t="s">
        <v>97</v>
      </c>
      <c r="K349" s="260" t="s">
        <v>201</v>
      </c>
      <c r="L349" s="256" t="s">
        <v>2086</v>
      </c>
      <c r="M349" s="252"/>
      <c r="N349" s="252"/>
      <c r="O349" s="252"/>
    </row>
    <row r="350" spans="1:15" hidden="1">
      <c r="A350" s="251">
        <v>45716</v>
      </c>
      <c r="B350" s="252" t="s">
        <v>681</v>
      </c>
      <c r="C350" s="258" t="s">
        <v>173</v>
      </c>
      <c r="D350" s="253" t="s">
        <v>442</v>
      </c>
      <c r="E350" s="254">
        <v>53700</v>
      </c>
      <c r="F350" s="254">
        <v>92.705909406128029</v>
      </c>
      <c r="G350" s="255">
        <v>579.25099999999998</v>
      </c>
      <c r="H350" s="256" t="s">
        <v>174</v>
      </c>
      <c r="I350" s="256" t="s">
        <v>682</v>
      </c>
      <c r="J350" s="256" t="s">
        <v>97</v>
      </c>
      <c r="K350" s="260" t="s">
        <v>201</v>
      </c>
      <c r="L350" s="256" t="s">
        <v>2086</v>
      </c>
      <c r="M350" s="252"/>
      <c r="N350" s="252"/>
      <c r="O350" s="252"/>
    </row>
    <row r="351" spans="1:15" hidden="1">
      <c r="A351" s="251">
        <v>45716</v>
      </c>
      <c r="B351" s="252" t="s">
        <v>3691</v>
      </c>
      <c r="C351" s="258" t="s">
        <v>176</v>
      </c>
      <c r="D351" s="253" t="s">
        <v>442</v>
      </c>
      <c r="E351" s="254">
        <v>30000</v>
      </c>
      <c r="F351" s="254">
        <v>51.791010841412302</v>
      </c>
      <c r="G351" s="255">
        <v>579.25099999999998</v>
      </c>
      <c r="H351" s="256" t="s">
        <v>316</v>
      </c>
      <c r="I351" s="256" t="s">
        <v>761</v>
      </c>
      <c r="J351" s="256" t="s">
        <v>97</v>
      </c>
      <c r="K351" s="260" t="s">
        <v>201</v>
      </c>
      <c r="L351" s="256" t="s">
        <v>2086</v>
      </c>
      <c r="M351" s="252"/>
      <c r="N351" s="252"/>
      <c r="O351" s="252"/>
    </row>
    <row r="352" spans="1:15" hidden="1">
      <c r="A352" s="251">
        <v>45716</v>
      </c>
      <c r="B352" s="252" t="s">
        <v>3689</v>
      </c>
      <c r="C352" s="258" t="s">
        <v>173</v>
      </c>
      <c r="D352" s="253" t="s">
        <v>442</v>
      </c>
      <c r="E352" s="254">
        <v>7000</v>
      </c>
      <c r="F352" s="254">
        <v>12.084569196329538</v>
      </c>
      <c r="G352" s="255">
        <v>579.25099999999998</v>
      </c>
      <c r="H352" s="256" t="s">
        <v>316</v>
      </c>
      <c r="I352" s="256" t="s">
        <v>762</v>
      </c>
      <c r="J352" s="256" t="s">
        <v>97</v>
      </c>
      <c r="K352" s="260" t="s">
        <v>201</v>
      </c>
      <c r="L352" s="256" t="s">
        <v>2086</v>
      </c>
      <c r="M352" s="252"/>
      <c r="N352" s="252"/>
      <c r="O352" s="252"/>
    </row>
    <row r="353" spans="1:15" hidden="1">
      <c r="A353" s="251">
        <v>45716</v>
      </c>
      <c r="B353" s="252" t="s">
        <v>763</v>
      </c>
      <c r="C353" s="258" t="s">
        <v>173</v>
      </c>
      <c r="D353" s="253" t="s">
        <v>442</v>
      </c>
      <c r="E353" s="254">
        <v>66500</v>
      </c>
      <c r="F353" s="254">
        <v>114.80340736513061</v>
      </c>
      <c r="G353" s="255">
        <v>579.25099999999998</v>
      </c>
      <c r="H353" s="256" t="s">
        <v>316</v>
      </c>
      <c r="I353" s="256" t="s">
        <v>764</v>
      </c>
      <c r="J353" s="256" t="s">
        <v>97</v>
      </c>
      <c r="K353" s="260" t="s">
        <v>201</v>
      </c>
      <c r="L353" s="256" t="s">
        <v>2086</v>
      </c>
      <c r="M353" s="252"/>
      <c r="N353" s="252"/>
      <c r="O353" s="252"/>
    </row>
    <row r="354" spans="1:15" hidden="1">
      <c r="A354" s="251">
        <v>45716</v>
      </c>
      <c r="B354" s="252" t="s">
        <v>713</v>
      </c>
      <c r="C354" s="258" t="s">
        <v>1164</v>
      </c>
      <c r="D354" s="253" t="s">
        <v>116</v>
      </c>
      <c r="E354" s="254">
        <v>24675</v>
      </c>
      <c r="F354" s="254">
        <v>42.598106417061622</v>
      </c>
      <c r="G354" s="255">
        <v>579.25099999999998</v>
      </c>
      <c r="H354" s="256" t="s">
        <v>186</v>
      </c>
      <c r="I354" s="256" t="s">
        <v>714</v>
      </c>
      <c r="J354" s="256" t="s">
        <v>97</v>
      </c>
      <c r="K354" s="260" t="s">
        <v>201</v>
      </c>
      <c r="L354" s="256" t="s">
        <v>2086</v>
      </c>
      <c r="M354" s="252"/>
      <c r="N354" s="252"/>
      <c r="O354" s="252"/>
    </row>
    <row r="355" spans="1:15" hidden="1">
      <c r="A355" s="251">
        <v>45716</v>
      </c>
      <c r="B355" s="252" t="s">
        <v>715</v>
      </c>
      <c r="C355" s="258" t="s">
        <v>173</v>
      </c>
      <c r="D355" s="253" t="s">
        <v>116</v>
      </c>
      <c r="E355" s="254">
        <v>35500</v>
      </c>
      <c r="F355" s="254">
        <v>61.286029495671229</v>
      </c>
      <c r="G355" s="255">
        <v>579.25099999999998</v>
      </c>
      <c r="H355" s="256" t="s">
        <v>186</v>
      </c>
      <c r="I355" s="256" t="s">
        <v>716</v>
      </c>
      <c r="J355" s="256" t="s">
        <v>97</v>
      </c>
      <c r="K355" s="260" t="s">
        <v>201</v>
      </c>
      <c r="L355" s="256" t="s">
        <v>2086</v>
      </c>
      <c r="M355" s="252"/>
      <c r="N355" s="252"/>
      <c r="O355" s="252"/>
    </row>
    <row r="356" spans="1:15" hidden="1">
      <c r="A356" s="251">
        <v>45716</v>
      </c>
      <c r="B356" s="252" t="s">
        <v>518</v>
      </c>
      <c r="C356" s="252" t="s">
        <v>312</v>
      </c>
      <c r="D356" s="253" t="s">
        <v>2088</v>
      </c>
      <c r="E356" s="254">
        <v>18000</v>
      </c>
      <c r="F356" s="254">
        <v>31.074606504847381</v>
      </c>
      <c r="G356" s="255">
        <v>579.25099999999998</v>
      </c>
      <c r="H356" s="256" t="s">
        <v>189</v>
      </c>
      <c r="I356" s="256" t="s">
        <v>519</v>
      </c>
      <c r="J356" s="256" t="s">
        <v>97</v>
      </c>
      <c r="K356" s="260" t="s">
        <v>201</v>
      </c>
      <c r="L356" s="256" t="s">
        <v>2086</v>
      </c>
      <c r="M356" s="252"/>
      <c r="N356" s="252"/>
      <c r="O356" s="252"/>
    </row>
    <row r="357" spans="1:15" hidden="1">
      <c r="A357" s="251">
        <v>45716</v>
      </c>
      <c r="B357" s="252" t="s">
        <v>765</v>
      </c>
      <c r="C357" s="258" t="s">
        <v>173</v>
      </c>
      <c r="D357" s="253" t="s">
        <v>116</v>
      </c>
      <c r="E357" s="254">
        <v>45000</v>
      </c>
      <c r="F357" s="254">
        <v>77.68651626211846</v>
      </c>
      <c r="G357" s="255">
        <v>579.25099999999998</v>
      </c>
      <c r="H357" s="256" t="s">
        <v>189</v>
      </c>
      <c r="I357" s="256" t="s">
        <v>766</v>
      </c>
      <c r="J357" s="256" t="s">
        <v>97</v>
      </c>
      <c r="K357" s="260" t="s">
        <v>201</v>
      </c>
      <c r="L357" s="256" t="s">
        <v>2086</v>
      </c>
      <c r="M357" s="252"/>
      <c r="N357" s="252"/>
      <c r="O357" s="252"/>
    </row>
    <row r="358" spans="1:15" hidden="1">
      <c r="A358" s="251">
        <v>45716</v>
      </c>
      <c r="B358" s="252" t="s">
        <v>493</v>
      </c>
      <c r="C358" s="258" t="s">
        <v>176</v>
      </c>
      <c r="D358" s="252" t="s">
        <v>119</v>
      </c>
      <c r="E358" s="254">
        <v>45000</v>
      </c>
      <c r="F358" s="254">
        <v>77.68651626211846</v>
      </c>
      <c r="G358" s="255">
        <v>579.25099999999998</v>
      </c>
      <c r="H358" s="256" t="s">
        <v>212</v>
      </c>
      <c r="I358" s="256" t="s">
        <v>494</v>
      </c>
      <c r="J358" s="256" t="s">
        <v>97</v>
      </c>
      <c r="K358" s="260" t="s">
        <v>201</v>
      </c>
      <c r="L358" s="256" t="s">
        <v>2086</v>
      </c>
      <c r="M358" s="252"/>
      <c r="N358" s="252"/>
      <c r="O358" s="252"/>
    </row>
    <row r="359" spans="1:15" hidden="1">
      <c r="A359" s="251">
        <v>45716</v>
      </c>
      <c r="B359" s="252" t="s">
        <v>274</v>
      </c>
      <c r="C359" s="258" t="s">
        <v>173</v>
      </c>
      <c r="D359" s="252" t="s">
        <v>119</v>
      </c>
      <c r="E359" s="254">
        <v>7000</v>
      </c>
      <c r="F359" s="254">
        <v>12.084569196329538</v>
      </c>
      <c r="G359" s="255">
        <v>579.25099999999998</v>
      </c>
      <c r="H359" s="256" t="s">
        <v>212</v>
      </c>
      <c r="I359" s="256" t="s">
        <v>495</v>
      </c>
      <c r="J359" s="256" t="s">
        <v>97</v>
      </c>
      <c r="K359" s="260" t="s">
        <v>201</v>
      </c>
      <c r="L359" s="256" t="s">
        <v>2086</v>
      </c>
      <c r="M359" s="252"/>
      <c r="N359" s="252"/>
      <c r="O359" s="252"/>
    </row>
    <row r="360" spans="1:15" hidden="1">
      <c r="A360" s="251">
        <v>45716</v>
      </c>
      <c r="B360" s="252" t="s">
        <v>496</v>
      </c>
      <c r="C360" s="258" t="s">
        <v>173</v>
      </c>
      <c r="D360" s="252" t="s">
        <v>119</v>
      </c>
      <c r="E360" s="254">
        <v>33500</v>
      </c>
      <c r="F360" s="254">
        <v>57.833295439577071</v>
      </c>
      <c r="G360" s="255">
        <v>579.25099999999998</v>
      </c>
      <c r="H360" s="256" t="s">
        <v>212</v>
      </c>
      <c r="I360" s="256" t="s">
        <v>497</v>
      </c>
      <c r="J360" s="256" t="s">
        <v>97</v>
      </c>
      <c r="K360" s="260" t="s">
        <v>201</v>
      </c>
      <c r="L360" s="256" t="s">
        <v>2086</v>
      </c>
      <c r="M360" s="252"/>
      <c r="N360" s="252"/>
      <c r="O360" s="252"/>
    </row>
    <row r="361" spans="1:15" hidden="1">
      <c r="A361" s="251">
        <v>45716</v>
      </c>
      <c r="B361" s="252" t="s">
        <v>502</v>
      </c>
      <c r="C361" s="258" t="s">
        <v>2089</v>
      </c>
      <c r="D361" s="252" t="s">
        <v>119</v>
      </c>
      <c r="E361" s="254">
        <v>200000</v>
      </c>
      <c r="F361" s="254">
        <v>345.27340560941536</v>
      </c>
      <c r="G361" s="255">
        <v>579.25099999999998</v>
      </c>
      <c r="H361" s="256" t="s">
        <v>212</v>
      </c>
      <c r="I361" s="256" t="s">
        <v>503</v>
      </c>
      <c r="J361" s="256" t="s">
        <v>97</v>
      </c>
      <c r="K361" s="260" t="s">
        <v>201</v>
      </c>
      <c r="L361" s="256" t="s">
        <v>2086</v>
      </c>
      <c r="M361" s="252"/>
      <c r="N361" s="252"/>
      <c r="O361" s="252"/>
    </row>
    <row r="362" spans="1:15" hidden="1">
      <c r="A362" s="262">
        <v>45717</v>
      </c>
      <c r="B362" s="252" t="s">
        <v>1108</v>
      </c>
      <c r="C362" s="258" t="s">
        <v>176</v>
      </c>
      <c r="D362" s="253" t="s">
        <v>116</v>
      </c>
      <c r="E362" s="263">
        <v>75000</v>
      </c>
      <c r="F362" s="254">
        <v>129.47754945610797</v>
      </c>
      <c r="G362" s="264">
        <v>579.25099999999998</v>
      </c>
      <c r="H362" s="256" t="s">
        <v>199</v>
      </c>
      <c r="I362" s="256" t="s">
        <v>1134</v>
      </c>
      <c r="J362" s="256" t="s">
        <v>97</v>
      </c>
      <c r="K362" s="260" t="s">
        <v>201</v>
      </c>
      <c r="L362" s="256" t="s">
        <v>154</v>
      </c>
      <c r="M362" s="252"/>
      <c r="N362" s="252"/>
      <c r="O362" s="252"/>
    </row>
    <row r="363" spans="1:15" hidden="1">
      <c r="A363" s="262">
        <v>45717</v>
      </c>
      <c r="B363" s="252" t="s">
        <v>1062</v>
      </c>
      <c r="C363" s="258" t="s">
        <v>173</v>
      </c>
      <c r="D363" s="253" t="s">
        <v>116</v>
      </c>
      <c r="E363" s="263">
        <v>7000</v>
      </c>
      <c r="F363" s="254">
        <v>12.084571282570078</v>
      </c>
      <c r="G363" s="264">
        <v>579.25099999999998</v>
      </c>
      <c r="H363" s="256" t="s">
        <v>189</v>
      </c>
      <c r="I363" s="256" t="s">
        <v>1063</v>
      </c>
      <c r="J363" s="256" t="s">
        <v>97</v>
      </c>
      <c r="K363" s="260" t="s">
        <v>201</v>
      </c>
      <c r="L363" s="256" t="s">
        <v>154</v>
      </c>
      <c r="M363" s="252"/>
      <c r="N363" s="252"/>
      <c r="O363" s="252"/>
    </row>
    <row r="364" spans="1:15" hidden="1">
      <c r="A364" s="262">
        <v>45717</v>
      </c>
      <c r="B364" s="252" t="s">
        <v>1064</v>
      </c>
      <c r="C364" s="258" t="s">
        <v>176</v>
      </c>
      <c r="D364" s="253" t="s">
        <v>116</v>
      </c>
      <c r="E364" s="263">
        <v>135000</v>
      </c>
      <c r="F364" s="254">
        <v>233.05958902099437</v>
      </c>
      <c r="G364" s="264">
        <v>579.25099999999998</v>
      </c>
      <c r="H364" s="256" t="s">
        <v>189</v>
      </c>
      <c r="I364" s="256" t="s">
        <v>1065</v>
      </c>
      <c r="J364" s="256" t="s">
        <v>97</v>
      </c>
      <c r="K364" s="260" t="s">
        <v>201</v>
      </c>
      <c r="L364" s="256" t="s">
        <v>154</v>
      </c>
      <c r="M364" s="252"/>
      <c r="N364" s="252"/>
      <c r="O364" s="252"/>
    </row>
    <row r="365" spans="1:15" hidden="1">
      <c r="A365" s="262">
        <v>45719</v>
      </c>
      <c r="B365" s="252" t="s">
        <v>777</v>
      </c>
      <c r="C365" s="252" t="s">
        <v>151</v>
      </c>
      <c r="D365" s="252" t="s">
        <v>118</v>
      </c>
      <c r="E365" s="263">
        <v>47000</v>
      </c>
      <c r="F365" s="254">
        <v>81.139264325827668</v>
      </c>
      <c r="G365" s="264">
        <v>579.25099999999998</v>
      </c>
      <c r="H365" s="256" t="s">
        <v>156</v>
      </c>
      <c r="I365" s="256" t="s">
        <v>825</v>
      </c>
      <c r="J365" s="256" t="s">
        <v>97</v>
      </c>
      <c r="K365" s="260" t="s">
        <v>201</v>
      </c>
      <c r="L365" s="256" t="s">
        <v>154</v>
      </c>
      <c r="M365" s="252"/>
      <c r="N365" s="252"/>
      <c r="O365" s="252"/>
    </row>
    <row r="366" spans="1:15" hidden="1">
      <c r="A366" s="262">
        <v>45719</v>
      </c>
      <c r="B366" s="252" t="s">
        <v>778</v>
      </c>
      <c r="C366" s="252" t="s">
        <v>151</v>
      </c>
      <c r="D366" s="253" t="s">
        <v>116</v>
      </c>
      <c r="E366" s="263">
        <v>74000</v>
      </c>
      <c r="F366" s="254">
        <v>127.75118213002654</v>
      </c>
      <c r="G366" s="264">
        <v>579.25099999999998</v>
      </c>
      <c r="H366" s="256" t="s">
        <v>156</v>
      </c>
      <c r="I366" s="256" t="s">
        <v>826</v>
      </c>
      <c r="J366" s="256" t="s">
        <v>97</v>
      </c>
      <c r="K366" s="260" t="s">
        <v>201</v>
      </c>
      <c r="L366" s="256" t="s">
        <v>154</v>
      </c>
      <c r="M366" s="252"/>
      <c r="N366" s="252"/>
      <c r="O366" s="252"/>
    </row>
    <row r="367" spans="1:15" hidden="1">
      <c r="A367" s="262">
        <v>45719</v>
      </c>
      <c r="B367" s="252" t="s">
        <v>779</v>
      </c>
      <c r="C367" s="252" t="s">
        <v>151</v>
      </c>
      <c r="D367" s="253" t="s">
        <v>442</v>
      </c>
      <c r="E367" s="263">
        <v>88000</v>
      </c>
      <c r="F367" s="254">
        <v>151.9203246951667</v>
      </c>
      <c r="G367" s="264">
        <v>579.25099999999998</v>
      </c>
      <c r="H367" s="256" t="s">
        <v>156</v>
      </c>
      <c r="I367" s="256" t="s">
        <v>827</v>
      </c>
      <c r="J367" s="256" t="s">
        <v>97</v>
      </c>
      <c r="K367" s="260" t="s">
        <v>201</v>
      </c>
      <c r="L367" s="256" t="s">
        <v>154</v>
      </c>
      <c r="M367" s="252"/>
      <c r="N367" s="252"/>
      <c r="O367" s="252"/>
    </row>
    <row r="368" spans="1:15" hidden="1">
      <c r="A368" s="262">
        <v>45719</v>
      </c>
      <c r="B368" s="252" t="s">
        <v>780</v>
      </c>
      <c r="C368" s="252" t="s">
        <v>151</v>
      </c>
      <c r="D368" s="252" t="s">
        <v>119</v>
      </c>
      <c r="E368" s="263">
        <v>10000</v>
      </c>
      <c r="F368" s="254">
        <v>17.263673260814397</v>
      </c>
      <c r="G368" s="264">
        <v>579.25099999999998</v>
      </c>
      <c r="H368" s="256" t="s">
        <v>156</v>
      </c>
      <c r="I368" s="256" t="s">
        <v>828</v>
      </c>
      <c r="J368" s="256" t="s">
        <v>97</v>
      </c>
      <c r="K368" s="260" t="s">
        <v>201</v>
      </c>
      <c r="L368" s="256" t="s">
        <v>154</v>
      </c>
      <c r="M368" s="252"/>
      <c r="N368" s="252"/>
      <c r="O368" s="252"/>
    </row>
    <row r="369" spans="1:15" hidden="1">
      <c r="A369" s="262">
        <v>45719</v>
      </c>
      <c r="B369" s="252" t="s">
        <v>781</v>
      </c>
      <c r="C369" s="252" t="s">
        <v>151</v>
      </c>
      <c r="D369" s="253" t="s">
        <v>116</v>
      </c>
      <c r="E369" s="263">
        <v>10000</v>
      </c>
      <c r="F369" s="254">
        <v>17.263673260814397</v>
      </c>
      <c r="G369" s="264">
        <v>579.25099999999998</v>
      </c>
      <c r="H369" s="256" t="s">
        <v>156</v>
      </c>
      <c r="I369" s="256" t="s">
        <v>829</v>
      </c>
      <c r="J369" s="256" t="s">
        <v>97</v>
      </c>
      <c r="K369" s="260" t="s">
        <v>201</v>
      </c>
      <c r="L369" s="256" t="s">
        <v>154</v>
      </c>
      <c r="M369" s="252"/>
      <c r="N369" s="252"/>
      <c r="O369" s="252"/>
    </row>
    <row r="370" spans="1:15" hidden="1">
      <c r="A370" s="262">
        <v>45719</v>
      </c>
      <c r="B370" s="252" t="s">
        <v>782</v>
      </c>
      <c r="C370" s="252" t="s">
        <v>151</v>
      </c>
      <c r="D370" s="253" t="s">
        <v>442</v>
      </c>
      <c r="E370" s="263">
        <v>16000</v>
      </c>
      <c r="F370" s="254">
        <v>27.621877217303034</v>
      </c>
      <c r="G370" s="264">
        <v>579.25099999999998</v>
      </c>
      <c r="H370" s="256" t="s">
        <v>156</v>
      </c>
      <c r="I370" s="256" t="s">
        <v>830</v>
      </c>
      <c r="J370" s="256" t="s">
        <v>97</v>
      </c>
      <c r="K370" s="260" t="s">
        <v>201</v>
      </c>
      <c r="L370" s="256" t="s">
        <v>154</v>
      </c>
      <c r="M370" s="252"/>
      <c r="N370" s="252"/>
      <c r="O370" s="252"/>
    </row>
    <row r="371" spans="1:15" hidden="1">
      <c r="A371" s="262">
        <v>45719</v>
      </c>
      <c r="B371" s="252" t="s">
        <v>783</v>
      </c>
      <c r="C371" s="252" t="s">
        <v>151</v>
      </c>
      <c r="D371" s="252" t="s">
        <v>119</v>
      </c>
      <c r="E371" s="263">
        <v>11000</v>
      </c>
      <c r="F371" s="254">
        <v>18.990040586895837</v>
      </c>
      <c r="G371" s="264">
        <v>579.25099999999998</v>
      </c>
      <c r="H371" s="256" t="s">
        <v>156</v>
      </c>
      <c r="I371" s="256" t="s">
        <v>831</v>
      </c>
      <c r="J371" s="256" t="s">
        <v>97</v>
      </c>
      <c r="K371" s="260" t="s">
        <v>201</v>
      </c>
      <c r="L371" s="256" t="s">
        <v>154</v>
      </c>
      <c r="M371" s="252"/>
      <c r="N371" s="252"/>
      <c r="O371" s="252"/>
    </row>
    <row r="372" spans="1:15" hidden="1">
      <c r="A372" s="262">
        <v>45719</v>
      </c>
      <c r="B372" s="252" t="s">
        <v>784</v>
      </c>
      <c r="C372" s="258" t="s">
        <v>1543</v>
      </c>
      <c r="D372" s="253" t="s">
        <v>116</v>
      </c>
      <c r="E372" s="263">
        <v>65000</v>
      </c>
      <c r="F372" s="254">
        <v>112.21387619529358</v>
      </c>
      <c r="G372" s="264">
        <v>579.25099999999998</v>
      </c>
      <c r="H372" s="256" t="s">
        <v>156</v>
      </c>
      <c r="I372" s="256" t="s">
        <v>832</v>
      </c>
      <c r="J372" s="256" t="s">
        <v>97</v>
      </c>
      <c r="K372" s="260" t="s">
        <v>201</v>
      </c>
      <c r="L372" s="256" t="s">
        <v>154</v>
      </c>
      <c r="M372" s="252"/>
      <c r="N372" s="252"/>
      <c r="O372" s="252"/>
    </row>
    <row r="373" spans="1:15" hidden="1">
      <c r="A373" s="262">
        <v>45719</v>
      </c>
      <c r="B373" s="252" t="s">
        <v>786</v>
      </c>
      <c r="C373" s="252" t="s">
        <v>264</v>
      </c>
      <c r="D373" s="252" t="s">
        <v>2088</v>
      </c>
      <c r="E373" s="263">
        <v>45000</v>
      </c>
      <c r="F373" s="254">
        <v>77.686529673664793</v>
      </c>
      <c r="G373" s="264">
        <v>579.25099999999998</v>
      </c>
      <c r="H373" s="256" t="s">
        <v>156</v>
      </c>
      <c r="I373" s="256" t="s">
        <v>880</v>
      </c>
      <c r="J373" s="256" t="s">
        <v>97</v>
      </c>
      <c r="K373" s="260" t="s">
        <v>201</v>
      </c>
      <c r="L373" s="256" t="s">
        <v>154</v>
      </c>
      <c r="M373" s="252"/>
      <c r="N373" s="252"/>
      <c r="O373" s="252"/>
    </row>
    <row r="374" spans="1:15" hidden="1">
      <c r="A374" s="262">
        <v>45719</v>
      </c>
      <c r="B374" s="252" t="s">
        <v>568</v>
      </c>
      <c r="C374" s="252" t="s">
        <v>126</v>
      </c>
      <c r="D374" s="252" t="s">
        <v>119</v>
      </c>
      <c r="E374" s="263">
        <v>30000</v>
      </c>
      <c r="F374" s="254">
        <v>51.791019782443193</v>
      </c>
      <c r="G374" s="264">
        <v>579.25099999999998</v>
      </c>
      <c r="H374" s="256" t="s">
        <v>156</v>
      </c>
      <c r="I374" s="256" t="s">
        <v>881</v>
      </c>
      <c r="J374" s="256" t="s">
        <v>97</v>
      </c>
      <c r="K374" s="260" t="s">
        <v>201</v>
      </c>
      <c r="L374" s="256" t="s">
        <v>154</v>
      </c>
      <c r="M374" s="252"/>
      <c r="N374" s="252"/>
      <c r="O374" s="252"/>
    </row>
    <row r="375" spans="1:15" hidden="1">
      <c r="A375" s="262">
        <v>45719</v>
      </c>
      <c r="B375" s="252" t="s">
        <v>558</v>
      </c>
      <c r="C375" s="252" t="s">
        <v>126</v>
      </c>
      <c r="D375" s="252" t="s">
        <v>117</v>
      </c>
      <c r="E375" s="263">
        <v>94430</v>
      </c>
      <c r="F375" s="254">
        <v>163.02086660187035</v>
      </c>
      <c r="G375" s="264">
        <v>579.25099999999998</v>
      </c>
      <c r="H375" s="256" t="s">
        <v>156</v>
      </c>
      <c r="I375" s="256" t="s">
        <v>882</v>
      </c>
      <c r="J375" s="256" t="s">
        <v>97</v>
      </c>
      <c r="K375" s="260" t="s">
        <v>201</v>
      </c>
      <c r="L375" s="256" t="s">
        <v>154</v>
      </c>
      <c r="M375" s="252"/>
      <c r="N375" s="252"/>
      <c r="O375" s="252"/>
    </row>
    <row r="376" spans="1:15" hidden="1">
      <c r="A376" s="262">
        <v>45719</v>
      </c>
      <c r="B376" s="252" t="s">
        <v>787</v>
      </c>
      <c r="C376" s="252" t="s">
        <v>264</v>
      </c>
      <c r="D376" s="252" t="s">
        <v>2088</v>
      </c>
      <c r="E376" s="263">
        <v>20000</v>
      </c>
      <c r="F376" s="254">
        <v>34.527346521628793</v>
      </c>
      <c r="G376" s="264">
        <v>579.25099999999998</v>
      </c>
      <c r="H376" s="256" t="s">
        <v>156</v>
      </c>
      <c r="I376" s="256" t="s">
        <v>883</v>
      </c>
      <c r="J376" s="256" t="s">
        <v>97</v>
      </c>
      <c r="K376" s="260" t="s">
        <v>201</v>
      </c>
      <c r="L376" s="256" t="s">
        <v>154</v>
      </c>
      <c r="M376" s="252"/>
      <c r="N376" s="252"/>
      <c r="O376" s="252"/>
    </row>
    <row r="377" spans="1:15" hidden="1">
      <c r="A377" s="262">
        <v>45719</v>
      </c>
      <c r="B377" s="252" t="s">
        <v>789</v>
      </c>
      <c r="C377" s="252" t="s">
        <v>264</v>
      </c>
      <c r="D377" s="252" t="s">
        <v>2088</v>
      </c>
      <c r="E377" s="263">
        <v>45000</v>
      </c>
      <c r="F377" s="254">
        <v>77.686529673664793</v>
      </c>
      <c r="G377" s="264">
        <v>579.25099999999998</v>
      </c>
      <c r="H377" s="256" t="s">
        <v>156</v>
      </c>
      <c r="I377" s="256" t="s">
        <v>885</v>
      </c>
      <c r="J377" s="256" t="s">
        <v>97</v>
      </c>
      <c r="K377" s="260" t="s">
        <v>201</v>
      </c>
      <c r="L377" s="256" t="s">
        <v>154</v>
      </c>
      <c r="M377" s="252"/>
      <c r="N377" s="252"/>
      <c r="O377" s="252"/>
    </row>
    <row r="378" spans="1:15" hidden="1">
      <c r="A378" s="262">
        <v>45719</v>
      </c>
      <c r="B378" s="252" t="s">
        <v>564</v>
      </c>
      <c r="C378" s="252" t="s">
        <v>126</v>
      </c>
      <c r="D378" s="253" t="s">
        <v>116</v>
      </c>
      <c r="E378" s="263">
        <v>30000</v>
      </c>
      <c r="F378" s="254">
        <v>51.791019782443193</v>
      </c>
      <c r="G378" s="264">
        <v>579.25099999999998</v>
      </c>
      <c r="H378" s="256" t="s">
        <v>156</v>
      </c>
      <c r="I378" s="256" t="s">
        <v>886</v>
      </c>
      <c r="J378" s="256" t="s">
        <v>97</v>
      </c>
      <c r="K378" s="260" t="s">
        <v>201</v>
      </c>
      <c r="L378" s="256" t="s">
        <v>154</v>
      </c>
      <c r="M378" s="252"/>
      <c r="N378" s="252"/>
      <c r="O378" s="252"/>
    </row>
    <row r="379" spans="1:15" hidden="1">
      <c r="A379" s="262">
        <v>45719</v>
      </c>
      <c r="B379" s="252" t="s">
        <v>566</v>
      </c>
      <c r="C379" s="252" t="s">
        <v>126</v>
      </c>
      <c r="D379" s="253" t="s">
        <v>116</v>
      </c>
      <c r="E379" s="263">
        <v>30000</v>
      </c>
      <c r="F379" s="254">
        <v>51.791019782443193</v>
      </c>
      <c r="G379" s="264">
        <v>579.25099999999998</v>
      </c>
      <c r="H379" s="256" t="s">
        <v>156</v>
      </c>
      <c r="I379" s="256" t="s">
        <v>887</v>
      </c>
      <c r="J379" s="256" t="s">
        <v>97</v>
      </c>
      <c r="K379" s="260" t="s">
        <v>201</v>
      </c>
      <c r="L379" s="256" t="s">
        <v>154</v>
      </c>
      <c r="M379" s="252"/>
      <c r="N379" s="252"/>
      <c r="O379" s="252"/>
    </row>
    <row r="380" spans="1:15" hidden="1">
      <c r="A380" s="262">
        <v>45719</v>
      </c>
      <c r="B380" s="252" t="s">
        <v>1149</v>
      </c>
      <c r="C380" s="258" t="s">
        <v>1164</v>
      </c>
      <c r="D380" s="252" t="s">
        <v>117</v>
      </c>
      <c r="E380" s="263">
        <v>25000</v>
      </c>
      <c r="F380" s="254">
        <v>43.159183152035993</v>
      </c>
      <c r="G380" s="264">
        <v>579.25099999999998</v>
      </c>
      <c r="H380" s="256" t="s">
        <v>583</v>
      </c>
      <c r="I380" s="256" t="s">
        <v>833</v>
      </c>
      <c r="J380" s="256" t="s">
        <v>97</v>
      </c>
      <c r="K380" s="260" t="s">
        <v>201</v>
      </c>
      <c r="L380" s="256" t="s">
        <v>154</v>
      </c>
      <c r="M380" s="252"/>
      <c r="N380" s="252"/>
      <c r="O380" s="252"/>
    </row>
    <row r="381" spans="1:15" hidden="1">
      <c r="A381" s="262">
        <v>45719</v>
      </c>
      <c r="B381" s="252" t="s">
        <v>788</v>
      </c>
      <c r="C381" s="252" t="s">
        <v>126</v>
      </c>
      <c r="D381" s="252" t="s">
        <v>117</v>
      </c>
      <c r="E381" s="263">
        <v>15000</v>
      </c>
      <c r="F381" s="254">
        <v>25.895509891221597</v>
      </c>
      <c r="G381" s="264">
        <v>579.25099999999998</v>
      </c>
      <c r="H381" s="256" t="s">
        <v>583</v>
      </c>
      <c r="I381" s="256" t="s">
        <v>884</v>
      </c>
      <c r="J381" s="256" t="s">
        <v>97</v>
      </c>
      <c r="K381" s="260" t="s">
        <v>201</v>
      </c>
      <c r="L381" s="256" t="s">
        <v>154</v>
      </c>
      <c r="M381" s="252"/>
      <c r="N381" s="252"/>
      <c r="O381" s="252"/>
    </row>
    <row r="382" spans="1:15" hidden="1">
      <c r="A382" s="262">
        <v>45719</v>
      </c>
      <c r="B382" s="265" t="s">
        <v>785</v>
      </c>
      <c r="C382" s="258" t="s">
        <v>1164</v>
      </c>
      <c r="D382" s="252" t="s">
        <v>117</v>
      </c>
      <c r="E382" s="263">
        <v>62500</v>
      </c>
      <c r="F382" s="254">
        <v>107.89795788008998</v>
      </c>
      <c r="G382" s="264">
        <v>579.25099999999998</v>
      </c>
      <c r="H382" s="256" t="s">
        <v>189</v>
      </c>
      <c r="I382" s="256" t="s">
        <v>834</v>
      </c>
      <c r="J382" s="256" t="s">
        <v>97</v>
      </c>
      <c r="K382" s="260" t="s">
        <v>201</v>
      </c>
      <c r="L382" s="256" t="s">
        <v>154</v>
      </c>
      <c r="M382" s="252"/>
      <c r="N382" s="252"/>
      <c r="O382" s="252"/>
    </row>
    <row r="383" spans="1:15" hidden="1">
      <c r="A383" s="262">
        <v>45719</v>
      </c>
      <c r="B383" s="252" t="s">
        <v>485</v>
      </c>
      <c r="C383" s="258" t="s">
        <v>125</v>
      </c>
      <c r="D383" s="252" t="s">
        <v>117</v>
      </c>
      <c r="E383" s="263">
        <v>500000</v>
      </c>
      <c r="F383" s="254">
        <v>863.18366304071981</v>
      </c>
      <c r="G383" s="264">
        <v>579.25099999999998</v>
      </c>
      <c r="H383" s="256" t="s">
        <v>147</v>
      </c>
      <c r="I383" s="256" t="s">
        <v>936</v>
      </c>
      <c r="J383" s="256" t="s">
        <v>97</v>
      </c>
      <c r="K383" s="260" t="s">
        <v>201</v>
      </c>
      <c r="L383" s="256" t="s">
        <v>154</v>
      </c>
      <c r="M383" s="252"/>
      <c r="N383" s="252"/>
      <c r="O383" s="252"/>
    </row>
    <row r="384" spans="1:15" hidden="1">
      <c r="A384" s="262">
        <v>45719</v>
      </c>
      <c r="B384" s="252" t="s">
        <v>895</v>
      </c>
      <c r="C384" s="252" t="s">
        <v>126</v>
      </c>
      <c r="D384" s="253" t="s">
        <v>116</v>
      </c>
      <c r="E384" s="263">
        <v>200000</v>
      </c>
      <c r="F384" s="254">
        <v>345.27346521628795</v>
      </c>
      <c r="G384" s="264">
        <v>579.25099999999998</v>
      </c>
      <c r="H384" s="256" t="s">
        <v>147</v>
      </c>
      <c r="I384" s="256" t="s">
        <v>937</v>
      </c>
      <c r="J384" s="256" t="s">
        <v>97</v>
      </c>
      <c r="K384" s="260" t="s">
        <v>201</v>
      </c>
      <c r="L384" s="256" t="s">
        <v>154</v>
      </c>
      <c r="M384" s="252"/>
      <c r="N384" s="252"/>
      <c r="O384" s="252"/>
    </row>
    <row r="385" spans="1:15" hidden="1">
      <c r="A385" s="262">
        <v>45719</v>
      </c>
      <c r="B385" s="252" t="s">
        <v>896</v>
      </c>
      <c r="C385" s="252" t="s">
        <v>126</v>
      </c>
      <c r="D385" s="253" t="s">
        <v>116</v>
      </c>
      <c r="E385" s="263">
        <v>200000</v>
      </c>
      <c r="F385" s="254">
        <v>345.27346521628795</v>
      </c>
      <c r="G385" s="264">
        <v>579.25099999999998</v>
      </c>
      <c r="H385" s="256" t="s">
        <v>147</v>
      </c>
      <c r="I385" s="256" t="s">
        <v>938</v>
      </c>
      <c r="J385" s="256" t="s">
        <v>97</v>
      </c>
      <c r="K385" s="260" t="s">
        <v>201</v>
      </c>
      <c r="L385" s="256" t="s">
        <v>154</v>
      </c>
      <c r="M385" s="252"/>
      <c r="N385" s="252"/>
      <c r="O385" s="252"/>
    </row>
    <row r="386" spans="1:15" hidden="1">
      <c r="A386" s="262">
        <v>45719</v>
      </c>
      <c r="B386" s="252" t="s">
        <v>897</v>
      </c>
      <c r="C386" s="252" t="s">
        <v>126</v>
      </c>
      <c r="D386" s="253" t="s">
        <v>116</v>
      </c>
      <c r="E386" s="263">
        <v>200000</v>
      </c>
      <c r="F386" s="254">
        <v>345.27346521628795</v>
      </c>
      <c r="G386" s="264">
        <v>579.25099999999998</v>
      </c>
      <c r="H386" s="256" t="s">
        <v>147</v>
      </c>
      <c r="I386" s="256" t="s">
        <v>939</v>
      </c>
      <c r="J386" s="256" t="s">
        <v>97</v>
      </c>
      <c r="K386" s="260" t="s">
        <v>201</v>
      </c>
      <c r="L386" s="256" t="s">
        <v>154</v>
      </c>
      <c r="M386" s="252"/>
      <c r="N386" s="252"/>
      <c r="O386" s="252"/>
    </row>
    <row r="387" spans="1:15" hidden="1">
      <c r="A387" s="262">
        <v>45719</v>
      </c>
      <c r="B387" s="252" t="s">
        <v>898</v>
      </c>
      <c r="C387" s="252" t="s">
        <v>126</v>
      </c>
      <c r="D387" s="253" t="s">
        <v>116</v>
      </c>
      <c r="E387" s="263">
        <v>551482</v>
      </c>
      <c r="F387" s="254">
        <v>952.06050572204458</v>
      </c>
      <c r="G387" s="264">
        <v>579.25099999999998</v>
      </c>
      <c r="H387" s="256" t="s">
        <v>147</v>
      </c>
      <c r="I387" s="256" t="s">
        <v>940</v>
      </c>
      <c r="J387" s="256" t="s">
        <v>97</v>
      </c>
      <c r="K387" s="260" t="s">
        <v>201</v>
      </c>
      <c r="L387" s="256" t="s">
        <v>154</v>
      </c>
      <c r="M387" s="252"/>
      <c r="N387" s="252"/>
      <c r="O387" s="252"/>
    </row>
    <row r="388" spans="1:15" hidden="1">
      <c r="A388" s="262">
        <v>45719</v>
      </c>
      <c r="B388" s="252" t="s">
        <v>899</v>
      </c>
      <c r="C388" s="252" t="s">
        <v>126</v>
      </c>
      <c r="D388" s="252" t="s">
        <v>117</v>
      </c>
      <c r="E388" s="263">
        <v>384789</v>
      </c>
      <c r="F388" s="254">
        <v>664.2871570355511</v>
      </c>
      <c r="G388" s="264">
        <v>579.25099999999998</v>
      </c>
      <c r="H388" s="256" t="s">
        <v>147</v>
      </c>
      <c r="I388" s="256" t="s">
        <v>941</v>
      </c>
      <c r="J388" s="256" t="s">
        <v>97</v>
      </c>
      <c r="K388" s="260" t="s">
        <v>201</v>
      </c>
      <c r="L388" s="256" t="s">
        <v>154</v>
      </c>
      <c r="M388" s="252"/>
      <c r="N388" s="252"/>
      <c r="O388" s="252"/>
    </row>
    <row r="389" spans="1:15" hidden="1">
      <c r="A389" s="262">
        <v>45719</v>
      </c>
      <c r="B389" s="252" t="s">
        <v>900</v>
      </c>
      <c r="C389" s="252" t="s">
        <v>126</v>
      </c>
      <c r="D389" s="252" t="s">
        <v>119</v>
      </c>
      <c r="E389" s="263">
        <v>238140</v>
      </c>
      <c r="F389" s="254">
        <v>411.11711503303405</v>
      </c>
      <c r="G389" s="264">
        <v>579.25099999999998</v>
      </c>
      <c r="H389" s="256" t="s">
        <v>147</v>
      </c>
      <c r="I389" s="256" t="s">
        <v>942</v>
      </c>
      <c r="J389" s="256" t="s">
        <v>97</v>
      </c>
      <c r="K389" s="260" t="s">
        <v>201</v>
      </c>
      <c r="L389" s="256" t="s">
        <v>154</v>
      </c>
      <c r="M389" s="252"/>
      <c r="N389" s="252"/>
      <c r="O389" s="252"/>
    </row>
    <row r="390" spans="1:15" hidden="1">
      <c r="A390" s="262">
        <v>45719</v>
      </c>
      <c r="B390" s="252" t="s">
        <v>901</v>
      </c>
      <c r="C390" s="252" t="s">
        <v>126</v>
      </c>
      <c r="D390" s="253" t="s">
        <v>442</v>
      </c>
      <c r="E390" s="263">
        <v>405000</v>
      </c>
      <c r="F390" s="254">
        <v>699.17876706298307</v>
      </c>
      <c r="G390" s="264">
        <v>579.25099999999998</v>
      </c>
      <c r="H390" s="256" t="s">
        <v>147</v>
      </c>
      <c r="I390" s="256" t="s">
        <v>943</v>
      </c>
      <c r="J390" s="256" t="s">
        <v>97</v>
      </c>
      <c r="K390" s="260" t="s">
        <v>201</v>
      </c>
      <c r="L390" s="256" t="s">
        <v>154</v>
      </c>
      <c r="M390" s="252"/>
      <c r="N390" s="252"/>
      <c r="O390" s="252"/>
    </row>
    <row r="391" spans="1:15" hidden="1">
      <c r="A391" s="262">
        <v>45719</v>
      </c>
      <c r="B391" s="252" t="s">
        <v>902</v>
      </c>
      <c r="C391" s="252" t="s">
        <v>126</v>
      </c>
      <c r="D391" s="253" t="s">
        <v>442</v>
      </c>
      <c r="E391" s="263">
        <v>460000</v>
      </c>
      <c r="F391" s="254">
        <v>794.12896999746226</v>
      </c>
      <c r="G391" s="264">
        <v>579.25099999999998</v>
      </c>
      <c r="H391" s="256" t="s">
        <v>147</v>
      </c>
      <c r="I391" s="256" t="s">
        <v>944</v>
      </c>
      <c r="J391" s="256" t="s">
        <v>97</v>
      </c>
      <c r="K391" s="260" t="s">
        <v>201</v>
      </c>
      <c r="L391" s="256" t="s">
        <v>154</v>
      </c>
      <c r="M391" s="252"/>
      <c r="N391" s="252"/>
      <c r="O391" s="252"/>
    </row>
    <row r="392" spans="1:15" hidden="1">
      <c r="A392" s="262">
        <v>45719</v>
      </c>
      <c r="B392" s="252" t="s">
        <v>903</v>
      </c>
      <c r="C392" s="252" t="s">
        <v>126</v>
      </c>
      <c r="D392" s="253" t="s">
        <v>442</v>
      </c>
      <c r="E392" s="263">
        <v>255000</v>
      </c>
      <c r="F392" s="254">
        <v>440.22366815076714</v>
      </c>
      <c r="G392" s="264">
        <v>579.25099999999998</v>
      </c>
      <c r="H392" s="256" t="s">
        <v>147</v>
      </c>
      <c r="I392" s="256" t="s">
        <v>945</v>
      </c>
      <c r="J392" s="256" t="s">
        <v>97</v>
      </c>
      <c r="K392" s="260" t="s">
        <v>201</v>
      </c>
      <c r="L392" s="256" t="s">
        <v>154</v>
      </c>
      <c r="M392" s="252"/>
      <c r="N392" s="252"/>
      <c r="O392" s="252"/>
    </row>
    <row r="393" spans="1:15" hidden="1">
      <c r="A393" s="262">
        <v>45719</v>
      </c>
      <c r="B393" s="252" t="s">
        <v>904</v>
      </c>
      <c r="C393" s="252" t="s">
        <v>126</v>
      </c>
      <c r="D393" s="253" t="s">
        <v>442</v>
      </c>
      <c r="E393" s="263">
        <v>255000</v>
      </c>
      <c r="F393" s="254">
        <v>440.22366815076714</v>
      </c>
      <c r="G393" s="264">
        <v>579.25099999999998</v>
      </c>
      <c r="H393" s="256" t="s">
        <v>147</v>
      </c>
      <c r="I393" s="256" t="s">
        <v>946</v>
      </c>
      <c r="J393" s="256" t="s">
        <v>97</v>
      </c>
      <c r="K393" s="260" t="s">
        <v>201</v>
      </c>
      <c r="L393" s="256" t="s">
        <v>154</v>
      </c>
      <c r="M393" s="252"/>
      <c r="N393" s="252"/>
      <c r="O393" s="252"/>
    </row>
    <row r="394" spans="1:15" hidden="1">
      <c r="A394" s="262">
        <v>45719</v>
      </c>
      <c r="B394" s="252" t="s">
        <v>905</v>
      </c>
      <c r="C394" s="252" t="s">
        <v>303</v>
      </c>
      <c r="D394" s="252" t="s">
        <v>117</v>
      </c>
      <c r="E394" s="263">
        <v>260000</v>
      </c>
      <c r="F394" s="254">
        <v>448.85550478117432</v>
      </c>
      <c r="G394" s="264">
        <v>579.25099999999998</v>
      </c>
      <c r="H394" s="256" t="s">
        <v>147</v>
      </c>
      <c r="I394" s="256" t="s">
        <v>947</v>
      </c>
      <c r="J394" s="256" t="s">
        <v>97</v>
      </c>
      <c r="K394" s="260" t="s">
        <v>201</v>
      </c>
      <c r="L394" s="256" t="s">
        <v>154</v>
      </c>
      <c r="M394" s="252"/>
      <c r="N394" s="252"/>
      <c r="O394" s="252"/>
    </row>
    <row r="395" spans="1:15" hidden="1">
      <c r="A395" s="262">
        <v>45719</v>
      </c>
      <c r="B395" s="252" t="s">
        <v>906</v>
      </c>
      <c r="C395" s="252" t="s">
        <v>127</v>
      </c>
      <c r="D395" s="252" t="s">
        <v>117</v>
      </c>
      <c r="E395" s="263">
        <v>10665</v>
      </c>
      <c r="F395" s="254">
        <v>18.411707532658554</v>
      </c>
      <c r="G395" s="264">
        <v>579.25099999999998</v>
      </c>
      <c r="H395" s="256" t="s">
        <v>147</v>
      </c>
      <c r="I395" s="256" t="s">
        <v>948</v>
      </c>
      <c r="J395" s="256" t="s">
        <v>97</v>
      </c>
      <c r="K395" s="260" t="s">
        <v>201</v>
      </c>
      <c r="L395" s="256" t="s">
        <v>154</v>
      </c>
      <c r="M395" s="252"/>
      <c r="N395" s="252"/>
      <c r="O395" s="252"/>
    </row>
    <row r="396" spans="1:15" hidden="1">
      <c r="A396" s="262">
        <v>45719</v>
      </c>
      <c r="B396" s="252" t="s">
        <v>907</v>
      </c>
      <c r="C396" s="252" t="s">
        <v>122</v>
      </c>
      <c r="D396" s="253" t="s">
        <v>116</v>
      </c>
      <c r="E396" s="263">
        <v>300000</v>
      </c>
      <c r="F396" s="254">
        <v>517.91019782443186</v>
      </c>
      <c r="G396" s="264">
        <v>579.25099999999998</v>
      </c>
      <c r="H396" s="256" t="s">
        <v>147</v>
      </c>
      <c r="I396" s="256" t="s">
        <v>949</v>
      </c>
      <c r="J396" s="256" t="s">
        <v>97</v>
      </c>
      <c r="K396" s="260" t="s">
        <v>201</v>
      </c>
      <c r="L396" s="256" t="s">
        <v>154</v>
      </c>
      <c r="M396" s="252"/>
      <c r="N396" s="252"/>
      <c r="O396" s="252"/>
    </row>
    <row r="397" spans="1:15" hidden="1">
      <c r="A397" s="262">
        <v>45720</v>
      </c>
      <c r="B397" s="252" t="s">
        <v>1150</v>
      </c>
      <c r="C397" s="258" t="s">
        <v>365</v>
      </c>
      <c r="D397" s="253" t="s">
        <v>442</v>
      </c>
      <c r="E397" s="263">
        <v>30000</v>
      </c>
      <c r="F397" s="254">
        <v>51.791019782443193</v>
      </c>
      <c r="G397" s="264">
        <v>579.25099999999998</v>
      </c>
      <c r="H397" s="256" t="s">
        <v>152</v>
      </c>
      <c r="I397" s="256" t="s">
        <v>836</v>
      </c>
      <c r="J397" s="256" t="s">
        <v>97</v>
      </c>
      <c r="K397" s="260" t="s">
        <v>201</v>
      </c>
      <c r="L397" s="256" t="s">
        <v>154</v>
      </c>
      <c r="M397" s="252"/>
      <c r="N397" s="252"/>
      <c r="O397" s="252"/>
    </row>
    <row r="398" spans="1:15" hidden="1">
      <c r="A398" s="262">
        <v>45720</v>
      </c>
      <c r="B398" s="252" t="s">
        <v>971</v>
      </c>
      <c r="C398" s="258" t="s">
        <v>173</v>
      </c>
      <c r="D398" s="252" t="s">
        <v>117</v>
      </c>
      <c r="E398" s="263">
        <v>9900</v>
      </c>
      <c r="F398" s="254">
        <v>17.091036528206253</v>
      </c>
      <c r="G398" s="264">
        <v>579.25099999999998</v>
      </c>
      <c r="H398" s="256" t="s">
        <v>156</v>
      </c>
      <c r="I398" s="256" t="s">
        <v>1125</v>
      </c>
      <c r="J398" s="256" t="s">
        <v>97</v>
      </c>
      <c r="K398" s="260" t="s">
        <v>201</v>
      </c>
      <c r="L398" s="256" t="s">
        <v>154</v>
      </c>
      <c r="M398" s="252"/>
      <c r="N398" s="252"/>
      <c r="O398" s="252"/>
    </row>
    <row r="399" spans="1:15" hidden="1">
      <c r="A399" s="262">
        <v>45720</v>
      </c>
      <c r="B399" s="252" t="s">
        <v>791</v>
      </c>
      <c r="C399" s="252" t="s">
        <v>126</v>
      </c>
      <c r="D399" s="252" t="s">
        <v>117</v>
      </c>
      <c r="E399" s="263">
        <v>131428</v>
      </c>
      <c r="F399" s="254">
        <v>226.89300493223146</v>
      </c>
      <c r="G399" s="264">
        <v>579.25099999999998</v>
      </c>
      <c r="H399" s="256" t="s">
        <v>156</v>
      </c>
      <c r="I399" s="256" t="s">
        <v>835</v>
      </c>
      <c r="J399" s="256" t="s">
        <v>97</v>
      </c>
      <c r="K399" s="260" t="s">
        <v>201</v>
      </c>
      <c r="L399" s="256" t="s">
        <v>154</v>
      </c>
      <c r="M399" s="252"/>
      <c r="N399" s="252"/>
      <c r="O399" s="252"/>
    </row>
    <row r="400" spans="1:15" hidden="1">
      <c r="A400" s="262">
        <v>45720</v>
      </c>
      <c r="B400" s="252" t="s">
        <v>795</v>
      </c>
      <c r="C400" s="258" t="s">
        <v>173</v>
      </c>
      <c r="D400" s="253" t="s">
        <v>116</v>
      </c>
      <c r="E400" s="263">
        <v>20000</v>
      </c>
      <c r="F400" s="254">
        <v>34.527346521628793</v>
      </c>
      <c r="G400" s="264">
        <v>579.25099999999998</v>
      </c>
      <c r="H400" s="256" t="s">
        <v>156</v>
      </c>
      <c r="I400" s="256" t="s">
        <v>840</v>
      </c>
      <c r="J400" s="256" t="s">
        <v>97</v>
      </c>
      <c r="K400" s="260" t="s">
        <v>201</v>
      </c>
      <c r="L400" s="256" t="s">
        <v>154</v>
      </c>
      <c r="M400" s="252"/>
      <c r="N400" s="252"/>
      <c r="O400" s="252"/>
    </row>
    <row r="401" spans="1:15" hidden="1">
      <c r="A401" s="262">
        <v>45720</v>
      </c>
      <c r="B401" s="252" t="s">
        <v>796</v>
      </c>
      <c r="C401" s="258" t="s">
        <v>176</v>
      </c>
      <c r="D401" s="253" t="s">
        <v>116</v>
      </c>
      <c r="E401" s="263">
        <v>50000</v>
      </c>
      <c r="F401" s="254">
        <v>86.318366304071986</v>
      </c>
      <c r="G401" s="264">
        <v>579.25099999999998</v>
      </c>
      <c r="H401" s="256" t="s">
        <v>156</v>
      </c>
      <c r="I401" s="256" t="s">
        <v>841</v>
      </c>
      <c r="J401" s="256" t="s">
        <v>97</v>
      </c>
      <c r="K401" s="260" t="s">
        <v>201</v>
      </c>
      <c r="L401" s="256" t="s">
        <v>154</v>
      </c>
      <c r="M401" s="252"/>
      <c r="N401" s="252"/>
      <c r="O401" s="252"/>
    </row>
    <row r="402" spans="1:15" hidden="1">
      <c r="A402" s="262">
        <v>45720</v>
      </c>
      <c r="B402" s="252" t="s">
        <v>560</v>
      </c>
      <c r="C402" s="252" t="s">
        <v>126</v>
      </c>
      <c r="D402" s="253" t="s">
        <v>116</v>
      </c>
      <c r="E402" s="263">
        <v>30000</v>
      </c>
      <c r="F402" s="254">
        <v>51.791019782443193</v>
      </c>
      <c r="G402" s="264">
        <v>579.25099999999998</v>
      </c>
      <c r="H402" s="256" t="s">
        <v>156</v>
      </c>
      <c r="I402" s="256" t="s">
        <v>889</v>
      </c>
      <c r="J402" s="256" t="s">
        <v>97</v>
      </c>
      <c r="K402" s="260" t="s">
        <v>201</v>
      </c>
      <c r="L402" s="256" t="s">
        <v>154</v>
      </c>
      <c r="M402" s="252"/>
      <c r="N402" s="252"/>
      <c r="O402" s="252"/>
    </row>
    <row r="403" spans="1:15" hidden="1">
      <c r="A403" s="262">
        <v>45720</v>
      </c>
      <c r="B403" s="252" t="s">
        <v>797</v>
      </c>
      <c r="C403" s="252" t="s">
        <v>264</v>
      </c>
      <c r="D403" s="252" t="s">
        <v>2088</v>
      </c>
      <c r="E403" s="263">
        <v>50000</v>
      </c>
      <c r="F403" s="254">
        <v>86.318366304071986</v>
      </c>
      <c r="G403" s="264">
        <v>579.25099999999998</v>
      </c>
      <c r="H403" s="256" t="s">
        <v>156</v>
      </c>
      <c r="I403" s="256" t="s">
        <v>890</v>
      </c>
      <c r="J403" s="256" t="s">
        <v>97</v>
      </c>
      <c r="K403" s="260" t="s">
        <v>201</v>
      </c>
      <c r="L403" s="256" t="s">
        <v>154</v>
      </c>
      <c r="M403" s="252"/>
      <c r="N403" s="252"/>
      <c r="O403" s="252"/>
    </row>
    <row r="404" spans="1:15" hidden="1">
      <c r="A404" s="262">
        <v>45720</v>
      </c>
      <c r="B404" s="252" t="s">
        <v>793</v>
      </c>
      <c r="C404" s="259" t="s">
        <v>2087</v>
      </c>
      <c r="D404" s="252" t="s">
        <v>117</v>
      </c>
      <c r="E404" s="263">
        <v>8700</v>
      </c>
      <c r="F404" s="254">
        <v>15.019395736908526</v>
      </c>
      <c r="G404" s="264">
        <v>579.25099999999998</v>
      </c>
      <c r="H404" s="256" t="s">
        <v>583</v>
      </c>
      <c r="I404" s="256" t="s">
        <v>838</v>
      </c>
      <c r="J404" s="256" t="s">
        <v>97</v>
      </c>
      <c r="K404" s="260" t="s">
        <v>201</v>
      </c>
      <c r="L404" s="256" t="s">
        <v>154</v>
      </c>
      <c r="M404" s="252"/>
      <c r="N404" s="252"/>
      <c r="O404" s="252"/>
    </row>
    <row r="405" spans="1:15" hidden="1">
      <c r="A405" s="262">
        <v>45720</v>
      </c>
      <c r="B405" s="252" t="s">
        <v>794</v>
      </c>
      <c r="C405" s="258" t="s">
        <v>176</v>
      </c>
      <c r="D405" s="253" t="s">
        <v>116</v>
      </c>
      <c r="E405" s="263">
        <v>100000</v>
      </c>
      <c r="F405" s="254">
        <v>172.63673260814397</v>
      </c>
      <c r="G405" s="264">
        <v>579.25099999999998</v>
      </c>
      <c r="H405" s="256" t="s">
        <v>583</v>
      </c>
      <c r="I405" s="256" t="s">
        <v>839</v>
      </c>
      <c r="J405" s="256" t="s">
        <v>97</v>
      </c>
      <c r="K405" s="260" t="s">
        <v>201</v>
      </c>
      <c r="L405" s="256" t="s">
        <v>154</v>
      </c>
      <c r="M405" s="252"/>
      <c r="N405" s="252"/>
      <c r="O405" s="252"/>
    </row>
    <row r="406" spans="1:15" hidden="1">
      <c r="A406" s="262">
        <v>45720</v>
      </c>
      <c r="B406" s="252" t="s">
        <v>988</v>
      </c>
      <c r="C406" s="252" t="s">
        <v>126</v>
      </c>
      <c r="D406" s="253" t="s">
        <v>989</v>
      </c>
      <c r="E406" s="263">
        <v>65000</v>
      </c>
      <c r="F406" s="254">
        <v>112.21387619529358</v>
      </c>
      <c r="G406" s="264">
        <v>579.25099999999998</v>
      </c>
      <c r="H406" s="256" t="s">
        <v>174</v>
      </c>
      <c r="I406" s="256" t="s">
        <v>990</v>
      </c>
      <c r="J406" s="256" t="s">
        <v>97</v>
      </c>
      <c r="K406" s="260" t="s">
        <v>201</v>
      </c>
      <c r="L406" s="256" t="s">
        <v>154</v>
      </c>
      <c r="M406" s="252"/>
      <c r="N406" s="252"/>
      <c r="O406" s="252"/>
    </row>
    <row r="407" spans="1:15" hidden="1">
      <c r="A407" s="262">
        <v>45720</v>
      </c>
      <c r="B407" s="252" t="s">
        <v>1151</v>
      </c>
      <c r="C407" s="258" t="s">
        <v>176</v>
      </c>
      <c r="D407" s="253" t="s">
        <v>116</v>
      </c>
      <c r="E407" s="263">
        <v>40000</v>
      </c>
      <c r="F407" s="254">
        <v>69.054693043257586</v>
      </c>
      <c r="G407" s="264">
        <v>579.25099999999998</v>
      </c>
      <c r="H407" s="256" t="s">
        <v>186</v>
      </c>
      <c r="I407" s="256" t="s">
        <v>1043</v>
      </c>
      <c r="J407" s="256" t="s">
        <v>97</v>
      </c>
      <c r="K407" s="260" t="s">
        <v>201</v>
      </c>
      <c r="L407" s="256" t="s">
        <v>154</v>
      </c>
      <c r="M407" s="252"/>
      <c r="N407" s="252"/>
      <c r="O407" s="252"/>
    </row>
    <row r="408" spans="1:15" hidden="1">
      <c r="A408" s="262">
        <v>45720</v>
      </c>
      <c r="B408" s="252" t="s">
        <v>792</v>
      </c>
      <c r="C408" s="259" t="s">
        <v>2087</v>
      </c>
      <c r="D408" s="252" t="s">
        <v>117</v>
      </c>
      <c r="E408" s="263">
        <v>1952</v>
      </c>
      <c r="F408" s="254">
        <v>3.3698690205109703</v>
      </c>
      <c r="G408" s="264">
        <v>579.25099999999998</v>
      </c>
      <c r="H408" s="256" t="s">
        <v>192</v>
      </c>
      <c r="I408" s="256" t="s">
        <v>837</v>
      </c>
      <c r="J408" s="256" t="s">
        <v>97</v>
      </c>
      <c r="K408" s="260" t="s">
        <v>201</v>
      </c>
      <c r="L408" s="266" t="s">
        <v>154</v>
      </c>
      <c r="M408" s="252"/>
      <c r="N408" s="252"/>
      <c r="O408" s="252"/>
    </row>
    <row r="409" spans="1:15" hidden="1">
      <c r="A409" s="262">
        <v>45720</v>
      </c>
      <c r="B409" s="252" t="s">
        <v>790</v>
      </c>
      <c r="C409" s="258" t="s">
        <v>2089</v>
      </c>
      <c r="D409" s="252" t="s">
        <v>119</v>
      </c>
      <c r="E409" s="263">
        <v>148000</v>
      </c>
      <c r="F409" s="254">
        <v>255.50236426005307</v>
      </c>
      <c r="G409" s="264">
        <v>579.25099999999998</v>
      </c>
      <c r="H409" s="256" t="s">
        <v>212</v>
      </c>
      <c r="I409" s="256" t="s">
        <v>888</v>
      </c>
      <c r="J409" s="256" t="s">
        <v>97</v>
      </c>
      <c r="K409" s="260" t="s">
        <v>201</v>
      </c>
      <c r="L409" s="256" t="s">
        <v>154</v>
      </c>
      <c r="M409" s="252"/>
      <c r="N409" s="252"/>
      <c r="O409" s="252"/>
    </row>
    <row r="410" spans="1:15" hidden="1">
      <c r="A410" s="262">
        <v>45721</v>
      </c>
      <c r="B410" s="252" t="s">
        <v>1109</v>
      </c>
      <c r="C410" s="258" t="s">
        <v>176</v>
      </c>
      <c r="D410" s="253" t="s">
        <v>116</v>
      </c>
      <c r="E410" s="263">
        <v>30000</v>
      </c>
      <c r="F410" s="254">
        <v>51.791019782443193</v>
      </c>
      <c r="G410" s="264">
        <v>579.25099999999998</v>
      </c>
      <c r="H410" s="256" t="s">
        <v>199</v>
      </c>
      <c r="I410" s="256" t="s">
        <v>1110</v>
      </c>
      <c r="J410" s="256" t="s">
        <v>97</v>
      </c>
      <c r="K410" s="260" t="s">
        <v>201</v>
      </c>
      <c r="L410" s="256" t="s">
        <v>154</v>
      </c>
      <c r="M410" s="252"/>
      <c r="N410" s="252"/>
      <c r="O410" s="252"/>
    </row>
    <row r="411" spans="1:15" hidden="1">
      <c r="A411" s="262">
        <v>45722</v>
      </c>
      <c r="B411" s="252" t="s">
        <v>2092</v>
      </c>
      <c r="C411" s="252" t="s">
        <v>126</v>
      </c>
      <c r="D411" s="252" t="s">
        <v>118</v>
      </c>
      <c r="E411" s="263">
        <v>174625</v>
      </c>
      <c r="F411" s="254">
        <v>301.46689431697143</v>
      </c>
      <c r="G411" s="264">
        <v>579.25099999999998</v>
      </c>
      <c r="H411" s="256" t="s">
        <v>152</v>
      </c>
      <c r="I411" s="256" t="s">
        <v>965</v>
      </c>
      <c r="J411" s="256" t="s">
        <v>97</v>
      </c>
      <c r="K411" s="260" t="s">
        <v>201</v>
      </c>
      <c r="L411" s="256" t="s">
        <v>154</v>
      </c>
      <c r="M411" s="252"/>
      <c r="N411" s="252"/>
      <c r="O411" s="252"/>
    </row>
    <row r="412" spans="1:15" hidden="1">
      <c r="A412" s="262">
        <v>45722</v>
      </c>
      <c r="B412" s="252" t="s">
        <v>584</v>
      </c>
      <c r="C412" s="258" t="s">
        <v>365</v>
      </c>
      <c r="D412" s="253" t="s">
        <v>442</v>
      </c>
      <c r="E412" s="263">
        <v>30000</v>
      </c>
      <c r="F412" s="254">
        <v>51.791019782443193</v>
      </c>
      <c r="G412" s="264">
        <v>579.25099999999998</v>
      </c>
      <c r="H412" s="256" t="s">
        <v>152</v>
      </c>
      <c r="I412" s="256" t="s">
        <v>842</v>
      </c>
      <c r="J412" s="256" t="s">
        <v>97</v>
      </c>
      <c r="K412" s="260" t="s">
        <v>201</v>
      </c>
      <c r="L412" s="256" t="s">
        <v>154</v>
      </c>
      <c r="M412" s="252"/>
      <c r="N412" s="252"/>
      <c r="O412" s="252"/>
    </row>
    <row r="413" spans="1:15" hidden="1">
      <c r="A413" s="262">
        <v>45722</v>
      </c>
      <c r="B413" s="252" t="s">
        <v>3661</v>
      </c>
      <c r="C413" s="258" t="s">
        <v>173</v>
      </c>
      <c r="D413" s="253" t="s">
        <v>442</v>
      </c>
      <c r="E413" s="263">
        <v>7000</v>
      </c>
      <c r="F413" s="254">
        <v>12.084571282570078</v>
      </c>
      <c r="G413" s="264">
        <v>579.25099999999998</v>
      </c>
      <c r="H413" s="256" t="s">
        <v>322</v>
      </c>
      <c r="I413" s="256" t="s">
        <v>1034</v>
      </c>
      <c r="J413" s="256" t="s">
        <v>97</v>
      </c>
      <c r="K413" s="260" t="s">
        <v>201</v>
      </c>
      <c r="L413" s="256" t="s">
        <v>154</v>
      </c>
      <c r="M413" s="252"/>
      <c r="N413" s="252"/>
      <c r="O413" s="252"/>
    </row>
    <row r="414" spans="1:15" hidden="1">
      <c r="A414" s="262">
        <v>45722</v>
      </c>
      <c r="B414" s="252" t="s">
        <v>798</v>
      </c>
      <c r="C414" s="259" t="s">
        <v>2087</v>
      </c>
      <c r="D414" s="252" t="s">
        <v>117</v>
      </c>
      <c r="E414" s="263">
        <v>1952</v>
      </c>
      <c r="F414" s="254">
        <v>3.3698690205109703</v>
      </c>
      <c r="G414" s="264">
        <v>579.25099999999998</v>
      </c>
      <c r="H414" s="256" t="s">
        <v>192</v>
      </c>
      <c r="I414" s="256" t="s">
        <v>843</v>
      </c>
      <c r="J414" s="256" t="s">
        <v>97</v>
      </c>
      <c r="K414" s="260" t="s">
        <v>201</v>
      </c>
      <c r="L414" s="256" t="s">
        <v>154</v>
      </c>
      <c r="M414" s="252"/>
      <c r="N414" s="252"/>
      <c r="O414" s="252"/>
    </row>
    <row r="415" spans="1:15" hidden="1">
      <c r="A415" s="262">
        <v>45723</v>
      </c>
      <c r="B415" s="252" t="s">
        <v>1148</v>
      </c>
      <c r="C415" s="252" t="s">
        <v>303</v>
      </c>
      <c r="D415" s="252" t="s">
        <v>117</v>
      </c>
      <c r="E415" s="263">
        <v>20000</v>
      </c>
      <c r="F415" s="254">
        <v>34.527346521628793</v>
      </c>
      <c r="G415" s="264">
        <v>579.25099999999998</v>
      </c>
      <c r="H415" s="256" t="s">
        <v>152</v>
      </c>
      <c r="I415" s="256" t="s">
        <v>844</v>
      </c>
      <c r="J415" s="256" t="s">
        <v>97</v>
      </c>
      <c r="K415" s="260" t="s">
        <v>201</v>
      </c>
      <c r="L415" s="256" t="s">
        <v>154</v>
      </c>
      <c r="M415" s="252"/>
      <c r="N415" s="252"/>
      <c r="O415" s="252"/>
    </row>
    <row r="416" spans="1:15" hidden="1">
      <c r="A416" s="262">
        <v>45723</v>
      </c>
      <c r="B416" s="252" t="s">
        <v>3663</v>
      </c>
      <c r="C416" s="258" t="s">
        <v>176</v>
      </c>
      <c r="D416" s="253" t="s">
        <v>442</v>
      </c>
      <c r="E416" s="263">
        <v>170000</v>
      </c>
      <c r="F416" s="254">
        <v>293.48244543384476</v>
      </c>
      <c r="G416" s="264">
        <v>579.25099999999998</v>
      </c>
      <c r="H416" s="256" t="s">
        <v>322</v>
      </c>
      <c r="I416" s="256" t="s">
        <v>1035</v>
      </c>
      <c r="J416" s="256" t="s">
        <v>97</v>
      </c>
      <c r="K416" s="260" t="s">
        <v>201</v>
      </c>
      <c r="L416" s="256" t="s">
        <v>154</v>
      </c>
      <c r="M416" s="252"/>
      <c r="N416" s="252"/>
      <c r="O416" s="252"/>
    </row>
    <row r="417" spans="1:15" hidden="1">
      <c r="A417" s="286">
        <v>45723</v>
      </c>
      <c r="B417" s="252" t="s">
        <v>908</v>
      </c>
      <c r="C417" s="252" t="s">
        <v>124</v>
      </c>
      <c r="D417" s="252"/>
      <c r="E417" s="287"/>
      <c r="F417" s="288">
        <f t="shared" ref="F417:F418" si="0">+E417/G417</f>
        <v>0</v>
      </c>
      <c r="G417" s="289">
        <v>579.64599999999996</v>
      </c>
      <c r="H417" s="252" t="s">
        <v>147</v>
      </c>
      <c r="I417" s="252" t="s">
        <v>933</v>
      </c>
      <c r="J417" s="252" t="s">
        <v>97</v>
      </c>
      <c r="K417" s="252" t="s">
        <v>201</v>
      </c>
      <c r="L417" s="252" t="s">
        <v>154</v>
      </c>
      <c r="M417" s="293">
        <v>17389380</v>
      </c>
      <c r="N417" s="294">
        <v>30000</v>
      </c>
      <c r="O417" s="252"/>
    </row>
    <row r="418" spans="1:15" hidden="1">
      <c r="A418" s="286">
        <v>45723</v>
      </c>
      <c r="B418" s="252" t="s">
        <v>909</v>
      </c>
      <c r="C418" s="252" t="s">
        <v>124</v>
      </c>
      <c r="D418" s="252"/>
      <c r="E418" s="287"/>
      <c r="F418" s="288">
        <f t="shared" si="0"/>
        <v>0</v>
      </c>
      <c r="G418" s="252">
        <v>579.64599999999996</v>
      </c>
      <c r="H418" s="252" t="s">
        <v>147</v>
      </c>
      <c r="I418" s="252" t="s">
        <v>934</v>
      </c>
      <c r="J418" s="252" t="s">
        <v>97</v>
      </c>
      <c r="K418" s="252" t="s">
        <v>1133</v>
      </c>
      <c r="L418" s="252" t="s">
        <v>154</v>
      </c>
      <c r="M418" s="293">
        <v>2898230</v>
      </c>
      <c r="N418" s="294">
        <v>5000</v>
      </c>
      <c r="O418" s="252"/>
    </row>
    <row r="419" spans="1:15" hidden="1">
      <c r="A419" s="262">
        <v>45724</v>
      </c>
      <c r="B419" s="252" t="s">
        <v>1111</v>
      </c>
      <c r="C419" s="258" t="s">
        <v>176</v>
      </c>
      <c r="D419" s="253" t="s">
        <v>116</v>
      </c>
      <c r="E419" s="263">
        <v>105000</v>
      </c>
      <c r="F419" s="254">
        <v>181.14504369908531</v>
      </c>
      <c r="G419" s="264">
        <v>579.64599999999996</v>
      </c>
      <c r="H419" s="256" t="s">
        <v>199</v>
      </c>
      <c r="I419" s="256" t="s">
        <v>1135</v>
      </c>
      <c r="J419" s="256" t="s">
        <v>97</v>
      </c>
      <c r="K419" s="260" t="s">
        <v>201</v>
      </c>
      <c r="L419" s="256" t="s">
        <v>154</v>
      </c>
      <c r="M419" s="252"/>
      <c r="N419" s="252"/>
      <c r="O419" s="252"/>
    </row>
    <row r="420" spans="1:15" hidden="1">
      <c r="A420" s="262">
        <v>45724</v>
      </c>
      <c r="B420" s="252" t="s">
        <v>1112</v>
      </c>
      <c r="C420" s="258" t="s">
        <v>173</v>
      </c>
      <c r="D420" s="253" t="s">
        <v>116</v>
      </c>
      <c r="E420" s="263">
        <v>7000</v>
      </c>
      <c r="F420" s="254">
        <v>12.076336246605688</v>
      </c>
      <c r="G420" s="264">
        <v>579.64599999999996</v>
      </c>
      <c r="H420" s="256" t="s">
        <v>199</v>
      </c>
      <c r="I420" s="256" t="s">
        <v>1136</v>
      </c>
      <c r="J420" s="256" t="s">
        <v>97</v>
      </c>
      <c r="K420" s="260" t="s">
        <v>201</v>
      </c>
      <c r="L420" s="256" t="s">
        <v>154</v>
      </c>
      <c r="M420" s="252"/>
      <c r="N420" s="252"/>
      <c r="O420" s="252"/>
    </row>
    <row r="421" spans="1:15" hidden="1">
      <c r="A421" s="262">
        <v>45724</v>
      </c>
      <c r="B421" s="252" t="s">
        <v>1152</v>
      </c>
      <c r="C421" s="258" t="s">
        <v>176</v>
      </c>
      <c r="D421" s="253" t="s">
        <v>116</v>
      </c>
      <c r="E421" s="263">
        <v>165000</v>
      </c>
      <c r="F421" s="254">
        <v>284.6564972414198</v>
      </c>
      <c r="G421" s="264">
        <v>579.64599999999996</v>
      </c>
      <c r="H421" s="256" t="s">
        <v>186</v>
      </c>
      <c r="I421" s="256" t="s">
        <v>1044</v>
      </c>
      <c r="J421" s="256" t="s">
        <v>97</v>
      </c>
      <c r="K421" s="260" t="s">
        <v>201</v>
      </c>
      <c r="L421" s="256" t="s">
        <v>154</v>
      </c>
      <c r="M421" s="252"/>
      <c r="N421" s="252"/>
      <c r="O421" s="252"/>
    </row>
    <row r="422" spans="1:15" hidden="1">
      <c r="A422" s="262">
        <v>45726</v>
      </c>
      <c r="B422" s="252" t="s">
        <v>799</v>
      </c>
      <c r="C422" s="252" t="s">
        <v>126</v>
      </c>
      <c r="D422" s="253" t="s">
        <v>116</v>
      </c>
      <c r="E422" s="263">
        <v>30000</v>
      </c>
      <c r="F422" s="254">
        <v>51.755726771167232</v>
      </c>
      <c r="G422" s="264">
        <v>579.64599999999996</v>
      </c>
      <c r="H422" s="256" t="s">
        <v>156</v>
      </c>
      <c r="I422" s="256" t="s">
        <v>891</v>
      </c>
      <c r="J422" s="256" t="s">
        <v>97</v>
      </c>
      <c r="K422" s="260" t="s">
        <v>201</v>
      </c>
      <c r="L422" s="256" t="s">
        <v>154</v>
      </c>
      <c r="M422" s="252"/>
      <c r="N422" s="252"/>
      <c r="O422" s="252"/>
    </row>
    <row r="423" spans="1:15" hidden="1">
      <c r="A423" s="262">
        <v>45726</v>
      </c>
      <c r="B423" s="252" t="s">
        <v>800</v>
      </c>
      <c r="C423" s="252" t="s">
        <v>264</v>
      </c>
      <c r="D423" s="252" t="s">
        <v>2088</v>
      </c>
      <c r="E423" s="263">
        <v>45000</v>
      </c>
      <c r="F423" s="254">
        <v>77.633590156750856</v>
      </c>
      <c r="G423" s="264">
        <v>579.64599999999996</v>
      </c>
      <c r="H423" s="256" t="s">
        <v>156</v>
      </c>
      <c r="I423" s="256" t="s">
        <v>892</v>
      </c>
      <c r="J423" s="256" t="s">
        <v>97</v>
      </c>
      <c r="K423" s="260" t="s">
        <v>201</v>
      </c>
      <c r="L423" s="256" t="s">
        <v>154</v>
      </c>
      <c r="M423" s="252"/>
      <c r="N423" s="252"/>
      <c r="O423" s="252"/>
    </row>
    <row r="424" spans="1:15" hidden="1">
      <c r="A424" s="262">
        <v>45726</v>
      </c>
      <c r="B424" s="252" t="s">
        <v>3754</v>
      </c>
      <c r="C424" s="258" t="s">
        <v>173</v>
      </c>
      <c r="D424" s="253" t="s">
        <v>442</v>
      </c>
      <c r="E424" s="263">
        <v>10000</v>
      </c>
      <c r="F424" s="254">
        <v>17.251908923722411</v>
      </c>
      <c r="G424" s="264">
        <v>579.64599999999996</v>
      </c>
      <c r="H424" s="256" t="s">
        <v>183</v>
      </c>
      <c r="I424" s="256" t="s">
        <v>973</v>
      </c>
      <c r="J424" s="256" t="s">
        <v>97</v>
      </c>
      <c r="K424" s="260" t="s">
        <v>201</v>
      </c>
      <c r="L424" s="256" t="s">
        <v>154</v>
      </c>
      <c r="M424" s="252"/>
      <c r="N424" s="252"/>
      <c r="O424" s="252"/>
    </row>
    <row r="425" spans="1:15" hidden="1">
      <c r="A425" s="262">
        <v>45726</v>
      </c>
      <c r="B425" s="252" t="s">
        <v>1162</v>
      </c>
      <c r="C425" s="258" t="s">
        <v>365</v>
      </c>
      <c r="D425" s="253" t="s">
        <v>442</v>
      </c>
      <c r="E425" s="263">
        <v>16000</v>
      </c>
      <c r="F425" s="254">
        <v>27.603054277955859</v>
      </c>
      <c r="G425" s="264">
        <v>579.64599999999996</v>
      </c>
      <c r="H425" s="256" t="s">
        <v>322</v>
      </c>
      <c r="I425" s="256" t="s">
        <v>1036</v>
      </c>
      <c r="J425" s="256" t="s">
        <v>97</v>
      </c>
      <c r="K425" s="260" t="s">
        <v>201</v>
      </c>
      <c r="L425" s="256" t="s">
        <v>154</v>
      </c>
      <c r="M425" s="252"/>
      <c r="N425" s="252"/>
      <c r="O425" s="252"/>
    </row>
    <row r="426" spans="1:15" hidden="1">
      <c r="A426" s="262">
        <v>45726</v>
      </c>
      <c r="B426" s="252" t="s">
        <v>554</v>
      </c>
      <c r="C426" s="259" t="s">
        <v>2087</v>
      </c>
      <c r="D426" s="252" t="s">
        <v>117</v>
      </c>
      <c r="E426" s="263">
        <v>4170</v>
      </c>
      <c r="F426" s="254">
        <v>7.1940460211922455</v>
      </c>
      <c r="G426" s="264">
        <v>579.64599999999996</v>
      </c>
      <c r="H426" s="256" t="s">
        <v>192</v>
      </c>
      <c r="I426" s="256" t="s">
        <v>845</v>
      </c>
      <c r="J426" s="256" t="s">
        <v>97</v>
      </c>
      <c r="K426" s="260" t="s">
        <v>201</v>
      </c>
      <c r="L426" s="256" t="s">
        <v>154</v>
      </c>
      <c r="M426" s="252"/>
      <c r="N426" s="252"/>
      <c r="O426" s="252"/>
    </row>
    <row r="427" spans="1:15" hidden="1">
      <c r="A427" s="262">
        <v>45726</v>
      </c>
      <c r="B427" s="252" t="s">
        <v>910</v>
      </c>
      <c r="C427" s="252" t="s">
        <v>122</v>
      </c>
      <c r="D427" s="253" t="s">
        <v>116</v>
      </c>
      <c r="E427" s="263">
        <v>150000</v>
      </c>
      <c r="F427" s="254">
        <v>258.77863385583618</v>
      </c>
      <c r="G427" s="264">
        <v>579.64599999999996</v>
      </c>
      <c r="H427" s="256" t="s">
        <v>147</v>
      </c>
      <c r="I427" s="256" t="s">
        <v>950</v>
      </c>
      <c r="J427" s="256" t="s">
        <v>97</v>
      </c>
      <c r="K427" s="260" t="s">
        <v>201</v>
      </c>
      <c r="L427" s="256" t="s">
        <v>154</v>
      </c>
      <c r="M427" s="252"/>
      <c r="N427" s="252"/>
      <c r="O427" s="252"/>
    </row>
    <row r="428" spans="1:15" hidden="1">
      <c r="A428" s="262">
        <v>45726</v>
      </c>
      <c r="B428" s="252" t="s">
        <v>911</v>
      </c>
      <c r="C428" s="252" t="s">
        <v>122</v>
      </c>
      <c r="D428" s="253" t="s">
        <v>116</v>
      </c>
      <c r="E428" s="263">
        <v>150000</v>
      </c>
      <c r="F428" s="254">
        <v>258.77863385583618</v>
      </c>
      <c r="G428" s="264">
        <v>579.64599999999996</v>
      </c>
      <c r="H428" s="256" t="s">
        <v>147</v>
      </c>
      <c r="I428" s="256" t="s">
        <v>951</v>
      </c>
      <c r="J428" s="256" t="s">
        <v>97</v>
      </c>
      <c r="K428" s="260" t="s">
        <v>201</v>
      </c>
      <c r="L428" s="256" t="s">
        <v>154</v>
      </c>
      <c r="M428" s="252"/>
      <c r="N428" s="252"/>
      <c r="O428" s="252"/>
    </row>
    <row r="429" spans="1:15" hidden="1">
      <c r="A429" s="262">
        <v>45726</v>
      </c>
      <c r="B429" s="252" t="s">
        <v>912</v>
      </c>
      <c r="C429" s="252" t="s">
        <v>126</v>
      </c>
      <c r="D429" s="252" t="s">
        <v>118</v>
      </c>
      <c r="E429" s="263">
        <v>1311000</v>
      </c>
      <c r="F429" s="254">
        <v>2261.725259900008</v>
      </c>
      <c r="G429" s="264">
        <v>579.64599999999996</v>
      </c>
      <c r="H429" s="256" t="s">
        <v>147</v>
      </c>
      <c r="I429" s="256" t="s">
        <v>952</v>
      </c>
      <c r="J429" s="256" t="s">
        <v>97</v>
      </c>
      <c r="K429" s="260" t="s">
        <v>201</v>
      </c>
      <c r="L429" s="256" t="s">
        <v>154</v>
      </c>
      <c r="M429" s="252"/>
      <c r="N429" s="252"/>
      <c r="O429" s="252"/>
    </row>
    <row r="430" spans="1:15" hidden="1">
      <c r="A430" s="262">
        <v>45727</v>
      </c>
      <c r="B430" s="252" t="s">
        <v>802</v>
      </c>
      <c r="C430" s="252" t="s">
        <v>126</v>
      </c>
      <c r="D430" s="253" t="s">
        <v>989</v>
      </c>
      <c r="E430" s="263">
        <v>112000</v>
      </c>
      <c r="F430" s="254">
        <v>193.22137994569101</v>
      </c>
      <c r="G430" s="264">
        <v>579.64599999999996</v>
      </c>
      <c r="H430" s="256" t="s">
        <v>583</v>
      </c>
      <c r="I430" s="256" t="s">
        <v>847</v>
      </c>
      <c r="J430" s="256" t="s">
        <v>97</v>
      </c>
      <c r="K430" s="260" t="s">
        <v>201</v>
      </c>
      <c r="L430" s="256" t="s">
        <v>154</v>
      </c>
      <c r="M430" s="252"/>
      <c r="N430" s="252"/>
      <c r="O430" s="252"/>
    </row>
    <row r="431" spans="1:15" hidden="1">
      <c r="A431" s="262">
        <v>45727</v>
      </c>
      <c r="B431" s="252" t="s">
        <v>3769</v>
      </c>
      <c r="C431" s="258" t="s">
        <v>176</v>
      </c>
      <c r="D431" s="253" t="s">
        <v>442</v>
      </c>
      <c r="E431" s="263">
        <v>130000</v>
      </c>
      <c r="F431" s="254">
        <v>224.27481600839135</v>
      </c>
      <c r="G431" s="255">
        <v>579.64599999999996</v>
      </c>
      <c r="H431" s="256" t="s">
        <v>183</v>
      </c>
      <c r="I431" s="256" t="s">
        <v>974</v>
      </c>
      <c r="J431" s="256" t="s">
        <v>97</v>
      </c>
      <c r="K431" s="256" t="s">
        <v>1133</v>
      </c>
      <c r="L431" s="256" t="s">
        <v>154</v>
      </c>
      <c r="M431" s="252"/>
      <c r="N431" s="252"/>
      <c r="O431" s="252"/>
    </row>
    <row r="432" spans="1:15" hidden="1">
      <c r="A432" s="262">
        <v>45727</v>
      </c>
      <c r="B432" s="252" t="s">
        <v>3876</v>
      </c>
      <c r="C432" s="258" t="s">
        <v>176</v>
      </c>
      <c r="D432" s="253" t="s">
        <v>442</v>
      </c>
      <c r="E432" s="263">
        <v>70000</v>
      </c>
      <c r="F432" s="254">
        <v>120.76336246605688</v>
      </c>
      <c r="G432" s="255">
        <v>579.64599999999996</v>
      </c>
      <c r="H432" s="256" t="s">
        <v>174</v>
      </c>
      <c r="I432" s="256" t="s">
        <v>991</v>
      </c>
      <c r="J432" s="256" t="s">
        <v>97</v>
      </c>
      <c r="K432" s="256" t="s">
        <v>1133</v>
      </c>
      <c r="L432" s="256" t="s">
        <v>154</v>
      </c>
      <c r="M432" s="252"/>
      <c r="N432" s="252"/>
      <c r="O432" s="252"/>
    </row>
    <row r="433" spans="1:15" hidden="1">
      <c r="A433" s="262">
        <v>45727</v>
      </c>
      <c r="B433" s="252" t="s">
        <v>3879</v>
      </c>
      <c r="C433" s="258" t="s">
        <v>173</v>
      </c>
      <c r="D433" s="253" t="s">
        <v>442</v>
      </c>
      <c r="E433" s="263">
        <v>6000</v>
      </c>
      <c r="F433" s="254">
        <v>10.351145354233447</v>
      </c>
      <c r="G433" s="255">
        <v>579.64599999999996</v>
      </c>
      <c r="H433" s="256" t="s">
        <v>174</v>
      </c>
      <c r="I433" s="256" t="s">
        <v>992</v>
      </c>
      <c r="J433" s="256" t="s">
        <v>97</v>
      </c>
      <c r="K433" s="256" t="s">
        <v>1133</v>
      </c>
      <c r="L433" s="256" t="s">
        <v>154</v>
      </c>
      <c r="M433" s="252"/>
      <c r="N433" s="252"/>
      <c r="O433" s="252"/>
    </row>
    <row r="434" spans="1:15" hidden="1">
      <c r="A434" s="262">
        <v>45727</v>
      </c>
      <c r="B434" s="252" t="s">
        <v>3697</v>
      </c>
      <c r="C434" s="258" t="s">
        <v>176</v>
      </c>
      <c r="D434" s="253" t="s">
        <v>442</v>
      </c>
      <c r="E434" s="263">
        <v>70000</v>
      </c>
      <c r="F434" s="254">
        <v>120.76336246605688</v>
      </c>
      <c r="G434" s="255">
        <v>579.64599999999996</v>
      </c>
      <c r="H434" s="256" t="s">
        <v>316</v>
      </c>
      <c r="I434" s="256" t="s">
        <v>1018</v>
      </c>
      <c r="J434" s="256" t="s">
        <v>97</v>
      </c>
      <c r="K434" s="256" t="s">
        <v>1133</v>
      </c>
      <c r="L434" s="256" t="s">
        <v>154</v>
      </c>
      <c r="M434" s="252"/>
      <c r="N434" s="252"/>
      <c r="O434" s="252"/>
    </row>
    <row r="435" spans="1:15" hidden="1">
      <c r="A435" s="262">
        <v>45727</v>
      </c>
      <c r="B435" s="252" t="s">
        <v>3694</v>
      </c>
      <c r="C435" s="258" t="s">
        <v>173</v>
      </c>
      <c r="D435" s="253" t="s">
        <v>442</v>
      </c>
      <c r="E435" s="263">
        <v>12000</v>
      </c>
      <c r="F435" s="254">
        <v>20.702290708466894</v>
      </c>
      <c r="G435" s="255">
        <v>579.64599999999996</v>
      </c>
      <c r="H435" s="256" t="s">
        <v>316</v>
      </c>
      <c r="I435" s="256" t="s">
        <v>1019</v>
      </c>
      <c r="J435" s="256" t="s">
        <v>97</v>
      </c>
      <c r="K435" s="256" t="s">
        <v>1133</v>
      </c>
      <c r="L435" s="256" t="s">
        <v>154</v>
      </c>
      <c r="M435" s="252"/>
      <c r="N435" s="252"/>
      <c r="O435" s="252"/>
    </row>
    <row r="436" spans="1:15" hidden="1">
      <c r="A436" s="262">
        <v>45727</v>
      </c>
      <c r="B436" s="252" t="s">
        <v>801</v>
      </c>
      <c r="C436" s="258" t="s">
        <v>125</v>
      </c>
      <c r="D436" s="252" t="s">
        <v>117</v>
      </c>
      <c r="E436" s="263">
        <v>72102</v>
      </c>
      <c r="F436" s="254">
        <v>124.38971372182333</v>
      </c>
      <c r="G436" s="255">
        <v>579.64599999999996</v>
      </c>
      <c r="H436" s="256" t="s">
        <v>192</v>
      </c>
      <c r="I436" s="256" t="s">
        <v>846</v>
      </c>
      <c r="J436" s="256" t="s">
        <v>97</v>
      </c>
      <c r="K436" s="256" t="s">
        <v>1133</v>
      </c>
      <c r="L436" s="256" t="s">
        <v>154</v>
      </c>
      <c r="M436" s="252"/>
      <c r="N436" s="252"/>
      <c r="O436" s="252"/>
    </row>
    <row r="437" spans="1:15" hidden="1">
      <c r="A437" s="286">
        <v>45727</v>
      </c>
      <c r="B437" s="252" t="s">
        <v>913</v>
      </c>
      <c r="C437" s="252" t="s">
        <v>124</v>
      </c>
      <c r="D437" s="252"/>
      <c r="E437" s="287">
        <v>2107400</v>
      </c>
      <c r="F437" s="288">
        <f t="shared" ref="F437" si="1">+E437/G437</f>
        <v>3635.6672865852611</v>
      </c>
      <c r="G437" s="252">
        <v>579.64599999999996</v>
      </c>
      <c r="H437" s="252" t="s">
        <v>147</v>
      </c>
      <c r="I437" s="252" t="s">
        <v>935</v>
      </c>
      <c r="J437" s="252" t="s">
        <v>97</v>
      </c>
      <c r="K437" s="252" t="s">
        <v>1132</v>
      </c>
      <c r="L437" s="252" t="s">
        <v>154</v>
      </c>
      <c r="M437" s="285"/>
      <c r="N437" s="252"/>
      <c r="O437" s="252"/>
    </row>
    <row r="438" spans="1:15" hidden="1">
      <c r="A438" s="262">
        <v>45727</v>
      </c>
      <c r="B438" s="252" t="s">
        <v>914</v>
      </c>
      <c r="C438" s="252" t="s">
        <v>127</v>
      </c>
      <c r="D438" s="252" t="s">
        <v>117</v>
      </c>
      <c r="E438" s="263">
        <v>24268</v>
      </c>
      <c r="F438" s="254">
        <v>41.866932576089546</v>
      </c>
      <c r="G438" s="255">
        <v>579.64599999999996</v>
      </c>
      <c r="H438" s="256" t="s">
        <v>147</v>
      </c>
      <c r="I438" s="256" t="s">
        <v>953</v>
      </c>
      <c r="J438" s="256" t="s">
        <v>97</v>
      </c>
      <c r="K438" s="256" t="s">
        <v>1133</v>
      </c>
      <c r="L438" s="256" t="s">
        <v>154</v>
      </c>
      <c r="M438" s="252"/>
      <c r="N438" s="252"/>
      <c r="O438" s="252"/>
    </row>
    <row r="439" spans="1:15" hidden="1">
      <c r="A439" s="262">
        <v>45727</v>
      </c>
      <c r="B439" s="252" t="s">
        <v>915</v>
      </c>
      <c r="C439" s="252" t="s">
        <v>126</v>
      </c>
      <c r="D439" s="252" t="s">
        <v>117</v>
      </c>
      <c r="E439" s="263">
        <v>398693</v>
      </c>
      <c r="F439" s="254">
        <v>687.82153245256598</v>
      </c>
      <c r="G439" s="264">
        <v>579.64599999999996</v>
      </c>
      <c r="H439" s="256" t="s">
        <v>147</v>
      </c>
      <c r="I439" s="256" t="s">
        <v>954</v>
      </c>
      <c r="J439" s="256" t="s">
        <v>97</v>
      </c>
      <c r="K439" s="260" t="s">
        <v>201</v>
      </c>
      <c r="L439" s="256" t="s">
        <v>154</v>
      </c>
      <c r="M439" s="252"/>
      <c r="N439" s="252"/>
      <c r="O439" s="252"/>
    </row>
    <row r="440" spans="1:15" hidden="1">
      <c r="A440" s="262">
        <v>45727</v>
      </c>
      <c r="B440" s="252" t="s">
        <v>916</v>
      </c>
      <c r="C440" s="252" t="s">
        <v>127</v>
      </c>
      <c r="D440" s="252" t="s">
        <v>117</v>
      </c>
      <c r="E440" s="263">
        <v>18255</v>
      </c>
      <c r="F440" s="254">
        <v>31.493359740255261</v>
      </c>
      <c r="G440" s="255">
        <v>579.64599999999996</v>
      </c>
      <c r="H440" s="256" t="s">
        <v>147</v>
      </c>
      <c r="I440" s="256" t="s">
        <v>955</v>
      </c>
      <c r="J440" s="256" t="s">
        <v>97</v>
      </c>
      <c r="K440" s="256" t="s">
        <v>1133</v>
      </c>
      <c r="L440" s="256" t="s">
        <v>154</v>
      </c>
      <c r="M440" s="252"/>
      <c r="N440" s="252"/>
      <c r="O440" s="252"/>
    </row>
    <row r="441" spans="1:15" hidden="1">
      <c r="A441" s="262">
        <v>45728</v>
      </c>
      <c r="B441" s="252" t="s">
        <v>1163</v>
      </c>
      <c r="C441" s="258" t="s">
        <v>1164</v>
      </c>
      <c r="D441" s="252" t="s">
        <v>117</v>
      </c>
      <c r="E441" s="263">
        <v>56550</v>
      </c>
      <c r="F441" s="254">
        <v>97.559544963650239</v>
      </c>
      <c r="G441" s="255">
        <v>579.64599999999996</v>
      </c>
      <c r="H441" s="256" t="s">
        <v>583</v>
      </c>
      <c r="I441" s="256" t="s">
        <v>849</v>
      </c>
      <c r="J441" s="256" t="s">
        <v>97</v>
      </c>
      <c r="K441" s="256" t="s">
        <v>1133</v>
      </c>
      <c r="L441" s="256" t="s">
        <v>154</v>
      </c>
      <c r="M441" s="252"/>
      <c r="N441" s="252"/>
      <c r="O441" s="252"/>
    </row>
    <row r="442" spans="1:15" hidden="1">
      <c r="A442" s="262">
        <v>45728</v>
      </c>
      <c r="B442" s="252" t="s">
        <v>803</v>
      </c>
      <c r="C442" s="252" t="s">
        <v>151</v>
      </c>
      <c r="D442" s="253" t="s">
        <v>116</v>
      </c>
      <c r="E442" s="263">
        <v>15000</v>
      </c>
      <c r="F442" s="254">
        <v>25.877863385583616</v>
      </c>
      <c r="G442" s="255">
        <v>579.64599999999996</v>
      </c>
      <c r="H442" s="256" t="s">
        <v>583</v>
      </c>
      <c r="I442" s="256" t="s">
        <v>850</v>
      </c>
      <c r="J442" s="256" t="s">
        <v>97</v>
      </c>
      <c r="K442" s="256" t="s">
        <v>1133</v>
      </c>
      <c r="L442" s="256" t="s">
        <v>154</v>
      </c>
      <c r="M442" s="252"/>
      <c r="N442" s="252"/>
      <c r="O442" s="252"/>
    </row>
    <row r="443" spans="1:15" hidden="1">
      <c r="A443" s="262">
        <v>45728</v>
      </c>
      <c r="B443" s="252" t="s">
        <v>3871</v>
      </c>
      <c r="C443" s="258" t="s">
        <v>176</v>
      </c>
      <c r="D443" s="253" t="s">
        <v>442</v>
      </c>
      <c r="E443" s="263">
        <v>15000</v>
      </c>
      <c r="F443" s="254">
        <v>25.877863385583616</v>
      </c>
      <c r="G443" s="255">
        <v>579.64599999999996</v>
      </c>
      <c r="H443" s="256" t="s">
        <v>174</v>
      </c>
      <c r="I443" s="256" t="s">
        <v>993</v>
      </c>
      <c r="J443" s="256" t="s">
        <v>97</v>
      </c>
      <c r="K443" s="256" t="s">
        <v>1133</v>
      </c>
      <c r="L443" s="256" t="s">
        <v>154</v>
      </c>
      <c r="M443" s="252"/>
      <c r="N443" s="252"/>
      <c r="O443" s="252"/>
    </row>
    <row r="444" spans="1:15" hidden="1">
      <c r="A444" s="262">
        <v>45728</v>
      </c>
      <c r="B444" s="252" t="s">
        <v>3869</v>
      </c>
      <c r="C444" s="258" t="s">
        <v>173</v>
      </c>
      <c r="D444" s="253" t="s">
        <v>442</v>
      </c>
      <c r="E444" s="263">
        <v>4000</v>
      </c>
      <c r="F444" s="254">
        <v>6.9007635694889649</v>
      </c>
      <c r="G444" s="255">
        <v>579.64599999999996</v>
      </c>
      <c r="H444" s="256" t="s">
        <v>174</v>
      </c>
      <c r="I444" s="256" t="s">
        <v>994</v>
      </c>
      <c r="J444" s="256" t="s">
        <v>97</v>
      </c>
      <c r="K444" s="256" t="s">
        <v>1133</v>
      </c>
      <c r="L444" s="256" t="s">
        <v>154</v>
      </c>
      <c r="M444" s="252"/>
      <c r="N444" s="252"/>
      <c r="O444" s="252"/>
    </row>
    <row r="445" spans="1:15" hidden="1">
      <c r="A445" s="262">
        <v>45728</v>
      </c>
      <c r="B445" s="252" t="s">
        <v>1147</v>
      </c>
      <c r="C445" s="258" t="s">
        <v>1164</v>
      </c>
      <c r="D445" s="252" t="s">
        <v>117</v>
      </c>
      <c r="E445" s="263">
        <v>25000</v>
      </c>
      <c r="F445" s="254">
        <v>43.129772309306027</v>
      </c>
      <c r="G445" s="255">
        <v>579.64599999999996</v>
      </c>
      <c r="H445" s="256" t="s">
        <v>192</v>
      </c>
      <c r="I445" s="256" t="s">
        <v>848</v>
      </c>
      <c r="J445" s="256" t="s">
        <v>97</v>
      </c>
      <c r="K445" s="256" t="s">
        <v>1133</v>
      </c>
      <c r="L445" s="256" t="s">
        <v>154</v>
      </c>
      <c r="M445" s="252"/>
      <c r="N445" s="252"/>
      <c r="O445" s="252"/>
    </row>
    <row r="446" spans="1:15" hidden="1">
      <c r="A446" s="262">
        <v>45729</v>
      </c>
      <c r="B446" s="252" t="s">
        <v>554</v>
      </c>
      <c r="C446" s="259" t="s">
        <v>2087</v>
      </c>
      <c r="D446" s="252" t="s">
        <v>117</v>
      </c>
      <c r="E446" s="263">
        <v>1740</v>
      </c>
      <c r="F446" s="254">
        <v>3.0018321527276997</v>
      </c>
      <c r="G446" s="255">
        <v>579.64599999999996</v>
      </c>
      <c r="H446" s="256" t="s">
        <v>192</v>
      </c>
      <c r="I446" s="256" t="s">
        <v>851</v>
      </c>
      <c r="J446" s="256" t="s">
        <v>97</v>
      </c>
      <c r="K446" s="256" t="s">
        <v>1133</v>
      </c>
      <c r="L446" s="256" t="s">
        <v>154</v>
      </c>
      <c r="M446" s="252"/>
      <c r="N446" s="252"/>
      <c r="O446" s="252"/>
    </row>
    <row r="447" spans="1:15" hidden="1">
      <c r="A447" s="262">
        <v>45730</v>
      </c>
      <c r="B447" s="252" t="s">
        <v>3871</v>
      </c>
      <c r="C447" s="258" t="s">
        <v>176</v>
      </c>
      <c r="D447" s="253" t="s">
        <v>442</v>
      </c>
      <c r="E447" s="263">
        <v>30000</v>
      </c>
      <c r="F447" s="254">
        <v>51.755726771167232</v>
      </c>
      <c r="G447" s="255">
        <v>579.64599999999996</v>
      </c>
      <c r="H447" s="256" t="s">
        <v>174</v>
      </c>
      <c r="I447" s="256" t="s">
        <v>995</v>
      </c>
      <c r="J447" s="256" t="s">
        <v>97</v>
      </c>
      <c r="K447" s="256" t="s">
        <v>1133</v>
      </c>
      <c r="L447" s="256" t="s">
        <v>154</v>
      </c>
      <c r="M447" s="252"/>
      <c r="N447" s="252"/>
      <c r="O447" s="252"/>
    </row>
    <row r="448" spans="1:15" hidden="1">
      <c r="A448" s="262">
        <v>45730</v>
      </c>
      <c r="B448" s="252" t="s">
        <v>3879</v>
      </c>
      <c r="C448" s="258" t="s">
        <v>173</v>
      </c>
      <c r="D448" s="253" t="s">
        <v>442</v>
      </c>
      <c r="E448" s="263">
        <v>4000</v>
      </c>
      <c r="F448" s="254">
        <v>6.9007635694889649</v>
      </c>
      <c r="G448" s="255">
        <v>579.64599999999996</v>
      </c>
      <c r="H448" s="256" t="s">
        <v>174</v>
      </c>
      <c r="I448" s="256" t="s">
        <v>996</v>
      </c>
      <c r="J448" s="256" t="s">
        <v>97</v>
      </c>
      <c r="K448" s="256" t="s">
        <v>1133</v>
      </c>
      <c r="L448" s="256" t="s">
        <v>154</v>
      </c>
      <c r="M448" s="252"/>
      <c r="N448" s="252"/>
      <c r="O448" s="252"/>
    </row>
    <row r="449" spans="1:15" hidden="1">
      <c r="A449" s="262">
        <v>45730</v>
      </c>
      <c r="B449" s="252" t="s">
        <v>917</v>
      </c>
      <c r="C449" s="252" t="s">
        <v>122</v>
      </c>
      <c r="D449" s="253" t="s">
        <v>116</v>
      </c>
      <c r="E449" s="263">
        <v>300000</v>
      </c>
      <c r="F449" s="254">
        <v>517.55726771167235</v>
      </c>
      <c r="G449" s="264">
        <v>579.64599999999996</v>
      </c>
      <c r="H449" s="256" t="s">
        <v>147</v>
      </c>
      <c r="I449" s="256" t="s">
        <v>956</v>
      </c>
      <c r="J449" s="256" t="s">
        <v>97</v>
      </c>
      <c r="K449" s="260" t="s">
        <v>201</v>
      </c>
      <c r="L449" s="256" t="s">
        <v>154</v>
      </c>
      <c r="M449" s="252"/>
      <c r="N449" s="252"/>
      <c r="O449" s="252"/>
    </row>
    <row r="450" spans="1:15" hidden="1">
      <c r="A450" s="262">
        <v>45730</v>
      </c>
      <c r="B450" s="252" t="s">
        <v>918</v>
      </c>
      <c r="C450" s="252" t="s">
        <v>122</v>
      </c>
      <c r="D450" s="253" t="s">
        <v>116</v>
      </c>
      <c r="E450" s="263">
        <v>200000</v>
      </c>
      <c r="F450" s="254">
        <v>345.03817847444822</v>
      </c>
      <c r="G450" s="264">
        <v>579.64599999999996</v>
      </c>
      <c r="H450" s="256" t="s">
        <v>147</v>
      </c>
      <c r="I450" s="256" t="s">
        <v>957</v>
      </c>
      <c r="J450" s="256" t="s">
        <v>97</v>
      </c>
      <c r="K450" s="260" t="s">
        <v>201</v>
      </c>
      <c r="L450" s="256" t="s">
        <v>154</v>
      </c>
      <c r="M450" s="252"/>
      <c r="N450" s="252"/>
      <c r="O450" s="252"/>
    </row>
    <row r="451" spans="1:15" hidden="1">
      <c r="A451" s="262">
        <v>45731</v>
      </c>
      <c r="B451" s="252" t="s">
        <v>3867</v>
      </c>
      <c r="C451" s="258" t="s">
        <v>176</v>
      </c>
      <c r="D451" s="253" t="s">
        <v>442</v>
      </c>
      <c r="E451" s="263">
        <v>15000</v>
      </c>
      <c r="F451" s="254">
        <v>25.877863385583616</v>
      </c>
      <c r="G451" s="255">
        <v>579.64599999999996</v>
      </c>
      <c r="H451" s="256" t="s">
        <v>174</v>
      </c>
      <c r="I451" s="256" t="s">
        <v>997</v>
      </c>
      <c r="J451" s="256" t="s">
        <v>97</v>
      </c>
      <c r="K451" s="256" t="s">
        <v>1133</v>
      </c>
      <c r="L451" s="256" t="s">
        <v>154</v>
      </c>
      <c r="M451" s="252"/>
      <c r="N451" s="252"/>
      <c r="O451" s="252"/>
    </row>
    <row r="452" spans="1:15" hidden="1">
      <c r="A452" s="262">
        <v>45731</v>
      </c>
      <c r="B452" s="252" t="s">
        <v>3879</v>
      </c>
      <c r="C452" s="258" t="s">
        <v>173</v>
      </c>
      <c r="D452" s="253" t="s">
        <v>442</v>
      </c>
      <c r="E452" s="263">
        <v>4000</v>
      </c>
      <c r="F452" s="254">
        <v>6.9007635694889649</v>
      </c>
      <c r="G452" s="255">
        <v>579.64599999999996</v>
      </c>
      <c r="H452" s="256" t="s">
        <v>174</v>
      </c>
      <c r="I452" s="256" t="s">
        <v>998</v>
      </c>
      <c r="J452" s="256" t="s">
        <v>97</v>
      </c>
      <c r="K452" s="256" t="s">
        <v>1133</v>
      </c>
      <c r="L452" s="256" t="s">
        <v>154</v>
      </c>
      <c r="M452" s="252"/>
      <c r="N452" s="252"/>
      <c r="O452" s="252"/>
    </row>
    <row r="453" spans="1:15" hidden="1">
      <c r="A453" s="262">
        <v>45732</v>
      </c>
      <c r="B453" s="252" t="s">
        <v>1113</v>
      </c>
      <c r="C453" s="258" t="s">
        <v>173</v>
      </c>
      <c r="D453" s="253" t="s">
        <v>116</v>
      </c>
      <c r="E453" s="263">
        <v>10000</v>
      </c>
      <c r="F453" s="254">
        <v>17.251908923722411</v>
      </c>
      <c r="G453" s="255">
        <v>579.64599999999996</v>
      </c>
      <c r="H453" s="256" t="s">
        <v>199</v>
      </c>
      <c r="I453" s="256" t="s">
        <v>1137</v>
      </c>
      <c r="J453" s="256" t="s">
        <v>97</v>
      </c>
      <c r="K453" s="256" t="s">
        <v>1133</v>
      </c>
      <c r="L453" s="256" t="s">
        <v>154</v>
      </c>
      <c r="M453" s="252"/>
      <c r="N453" s="252"/>
      <c r="O453" s="252"/>
    </row>
    <row r="454" spans="1:15" hidden="1">
      <c r="A454" s="262">
        <v>45732</v>
      </c>
      <c r="B454" s="252" t="s">
        <v>3698</v>
      </c>
      <c r="C454" s="258" t="s">
        <v>176</v>
      </c>
      <c r="D454" s="253" t="s">
        <v>442</v>
      </c>
      <c r="E454" s="263">
        <v>75000</v>
      </c>
      <c r="F454" s="254">
        <v>129.38931692791809</v>
      </c>
      <c r="G454" s="255">
        <v>579.64599999999996</v>
      </c>
      <c r="H454" s="256" t="s">
        <v>316</v>
      </c>
      <c r="I454" s="256" t="s">
        <v>1020</v>
      </c>
      <c r="J454" s="256" t="s">
        <v>97</v>
      </c>
      <c r="K454" s="256" t="s">
        <v>1133</v>
      </c>
      <c r="L454" s="256" t="s">
        <v>154</v>
      </c>
      <c r="M454" s="252"/>
      <c r="N454" s="252"/>
      <c r="O454" s="252"/>
    </row>
    <row r="455" spans="1:15" hidden="1">
      <c r="A455" s="262">
        <v>45732</v>
      </c>
      <c r="B455" s="252" t="s">
        <v>3689</v>
      </c>
      <c r="C455" s="258" t="s">
        <v>173</v>
      </c>
      <c r="D455" s="253" t="s">
        <v>442</v>
      </c>
      <c r="E455" s="263">
        <v>7000</v>
      </c>
      <c r="F455" s="254">
        <v>12.076336246605688</v>
      </c>
      <c r="G455" s="255">
        <v>579.64599999999996</v>
      </c>
      <c r="H455" s="256" t="s">
        <v>316</v>
      </c>
      <c r="I455" s="256" t="s">
        <v>1021</v>
      </c>
      <c r="J455" s="256" t="s">
        <v>97</v>
      </c>
      <c r="K455" s="256" t="s">
        <v>1133</v>
      </c>
      <c r="L455" s="256" t="s">
        <v>154</v>
      </c>
      <c r="M455" s="252"/>
      <c r="N455" s="252"/>
      <c r="O455" s="252"/>
    </row>
    <row r="456" spans="1:15" hidden="1">
      <c r="A456" s="262">
        <v>45732</v>
      </c>
      <c r="B456" s="252" t="s">
        <v>1045</v>
      </c>
      <c r="C456" s="258" t="s">
        <v>173</v>
      </c>
      <c r="D456" s="253" t="s">
        <v>116</v>
      </c>
      <c r="E456" s="263">
        <v>10000</v>
      </c>
      <c r="F456" s="254">
        <v>17.251908923722411</v>
      </c>
      <c r="G456" s="255">
        <v>579.64599999999996</v>
      </c>
      <c r="H456" s="256" t="s">
        <v>186</v>
      </c>
      <c r="I456" s="256" t="s">
        <v>1046</v>
      </c>
      <c r="J456" s="256" t="s">
        <v>97</v>
      </c>
      <c r="K456" s="256" t="s">
        <v>1133</v>
      </c>
      <c r="L456" s="256" t="s">
        <v>154</v>
      </c>
      <c r="M456" s="252"/>
      <c r="N456" s="252"/>
      <c r="O456" s="252"/>
    </row>
    <row r="457" spans="1:15" hidden="1">
      <c r="A457" s="262">
        <v>45732</v>
      </c>
      <c r="B457" s="252" t="s">
        <v>1153</v>
      </c>
      <c r="C457" s="258" t="s">
        <v>173</v>
      </c>
      <c r="D457" s="253" t="s">
        <v>116</v>
      </c>
      <c r="E457" s="263">
        <v>10000</v>
      </c>
      <c r="F457" s="254">
        <v>17.251908923722411</v>
      </c>
      <c r="G457" s="255">
        <v>579.64599999999996</v>
      </c>
      <c r="H457" s="256" t="s">
        <v>189</v>
      </c>
      <c r="I457" s="256" t="s">
        <v>1066</v>
      </c>
      <c r="J457" s="256" t="s">
        <v>97</v>
      </c>
      <c r="K457" s="256" t="s">
        <v>1133</v>
      </c>
      <c r="L457" s="256" t="s">
        <v>154</v>
      </c>
      <c r="M457" s="252"/>
      <c r="N457" s="252"/>
      <c r="O457" s="252"/>
    </row>
    <row r="458" spans="1:15" hidden="1">
      <c r="A458" s="262">
        <v>45732</v>
      </c>
      <c r="B458" s="252" t="s">
        <v>1086</v>
      </c>
      <c r="C458" s="258" t="s">
        <v>173</v>
      </c>
      <c r="D458" s="253" t="s">
        <v>116</v>
      </c>
      <c r="E458" s="263">
        <v>10000</v>
      </c>
      <c r="F458" s="254">
        <v>17.251908923722411</v>
      </c>
      <c r="G458" s="255">
        <v>579.64599999999996</v>
      </c>
      <c r="H458" s="256" t="s">
        <v>196</v>
      </c>
      <c r="I458" s="256" t="s">
        <v>1087</v>
      </c>
      <c r="J458" s="256" t="s">
        <v>97</v>
      </c>
      <c r="K458" s="256" t="s">
        <v>1133</v>
      </c>
      <c r="L458" s="256" t="s">
        <v>154</v>
      </c>
      <c r="M458" s="252"/>
      <c r="N458" s="252"/>
      <c r="O458" s="252"/>
    </row>
    <row r="459" spans="1:15" hidden="1">
      <c r="A459" s="262">
        <v>45732</v>
      </c>
      <c r="B459" s="252" t="s">
        <v>1154</v>
      </c>
      <c r="C459" s="258" t="s">
        <v>173</v>
      </c>
      <c r="D459" s="252" t="s">
        <v>2088</v>
      </c>
      <c r="E459" s="263">
        <v>10000</v>
      </c>
      <c r="F459" s="254">
        <v>17.251908923722411</v>
      </c>
      <c r="G459" s="255">
        <v>579.64599999999996</v>
      </c>
      <c r="H459" s="256" t="s">
        <v>212</v>
      </c>
      <c r="I459" s="256" t="s">
        <v>1099</v>
      </c>
      <c r="J459" s="256" t="s">
        <v>97</v>
      </c>
      <c r="K459" s="256" t="s">
        <v>1133</v>
      </c>
      <c r="L459" s="256" t="s">
        <v>154</v>
      </c>
      <c r="M459" s="252"/>
      <c r="N459" s="252"/>
      <c r="O459" s="252"/>
    </row>
    <row r="460" spans="1:15" hidden="1">
      <c r="A460" s="262">
        <v>45733</v>
      </c>
      <c r="B460" s="252" t="s">
        <v>1114</v>
      </c>
      <c r="C460" s="258" t="s">
        <v>176</v>
      </c>
      <c r="D460" s="252" t="s">
        <v>2088</v>
      </c>
      <c r="E460" s="263">
        <v>190000</v>
      </c>
      <c r="F460" s="254">
        <v>327.78626955072582</v>
      </c>
      <c r="G460" s="264">
        <v>579.64599999999996</v>
      </c>
      <c r="H460" s="256" t="s">
        <v>199</v>
      </c>
      <c r="I460" s="256" t="s">
        <v>1115</v>
      </c>
      <c r="J460" s="256" t="s">
        <v>97</v>
      </c>
      <c r="K460" s="260" t="s">
        <v>201</v>
      </c>
      <c r="L460" s="256" t="s">
        <v>154</v>
      </c>
      <c r="M460" s="252"/>
      <c r="N460" s="252"/>
      <c r="O460" s="252"/>
    </row>
    <row r="461" spans="1:15" hidden="1">
      <c r="A461" s="262">
        <v>45733</v>
      </c>
      <c r="B461" s="252" t="s">
        <v>804</v>
      </c>
      <c r="C461" s="259" t="s">
        <v>2087</v>
      </c>
      <c r="D461" s="252" t="s">
        <v>117</v>
      </c>
      <c r="E461" s="263">
        <v>12690</v>
      </c>
      <c r="F461" s="254">
        <v>21.892672424203738</v>
      </c>
      <c r="G461" s="255">
        <v>579.64599999999996</v>
      </c>
      <c r="H461" s="256" t="s">
        <v>583</v>
      </c>
      <c r="I461" s="256" t="s">
        <v>852</v>
      </c>
      <c r="J461" s="256" t="s">
        <v>97</v>
      </c>
      <c r="K461" s="256" t="s">
        <v>1133</v>
      </c>
      <c r="L461" s="256" t="s">
        <v>154</v>
      </c>
      <c r="M461" s="252"/>
      <c r="N461" s="252"/>
      <c r="O461" s="252"/>
    </row>
    <row r="462" spans="1:15" hidden="1">
      <c r="A462" s="262">
        <v>45733</v>
      </c>
      <c r="B462" s="252" t="s">
        <v>805</v>
      </c>
      <c r="C462" s="252" t="s">
        <v>151</v>
      </c>
      <c r="D462" s="252" t="s">
        <v>118</v>
      </c>
      <c r="E462" s="263">
        <v>20000</v>
      </c>
      <c r="F462" s="254">
        <v>34.503817847444822</v>
      </c>
      <c r="G462" s="255">
        <v>579.64599999999996</v>
      </c>
      <c r="H462" s="256" t="s">
        <v>583</v>
      </c>
      <c r="I462" s="256" t="s">
        <v>853</v>
      </c>
      <c r="J462" s="256" t="s">
        <v>97</v>
      </c>
      <c r="K462" s="256" t="s">
        <v>1133</v>
      </c>
      <c r="L462" s="256" t="s">
        <v>154</v>
      </c>
      <c r="M462" s="252"/>
      <c r="N462" s="252"/>
      <c r="O462" s="252"/>
    </row>
    <row r="463" spans="1:15" hidden="1">
      <c r="A463" s="262">
        <v>45733</v>
      </c>
      <c r="B463" s="252" t="s">
        <v>806</v>
      </c>
      <c r="C463" s="252" t="s">
        <v>151</v>
      </c>
      <c r="D463" s="253" t="s">
        <v>116</v>
      </c>
      <c r="E463" s="263">
        <v>30000</v>
      </c>
      <c r="F463" s="254">
        <v>51.755726771167232</v>
      </c>
      <c r="G463" s="255">
        <v>579.64599999999996</v>
      </c>
      <c r="H463" s="256" t="s">
        <v>583</v>
      </c>
      <c r="I463" s="256" t="s">
        <v>854</v>
      </c>
      <c r="J463" s="256" t="s">
        <v>97</v>
      </c>
      <c r="K463" s="256" t="s">
        <v>1133</v>
      </c>
      <c r="L463" s="256" t="s">
        <v>154</v>
      </c>
      <c r="M463" s="252"/>
      <c r="N463" s="252"/>
      <c r="O463" s="252"/>
    </row>
    <row r="464" spans="1:15" hidden="1">
      <c r="A464" s="262">
        <v>45733</v>
      </c>
      <c r="B464" s="252" t="s">
        <v>807</v>
      </c>
      <c r="C464" s="252" t="s">
        <v>151</v>
      </c>
      <c r="D464" s="253" t="s">
        <v>442</v>
      </c>
      <c r="E464" s="263">
        <v>55000</v>
      </c>
      <c r="F464" s="254">
        <v>94.885499080473267</v>
      </c>
      <c r="G464" s="255">
        <v>579.64599999999996</v>
      </c>
      <c r="H464" s="256" t="s">
        <v>583</v>
      </c>
      <c r="I464" s="256" t="s">
        <v>855</v>
      </c>
      <c r="J464" s="256" t="s">
        <v>97</v>
      </c>
      <c r="K464" s="256" t="s">
        <v>1133</v>
      </c>
      <c r="L464" s="256" t="s">
        <v>154</v>
      </c>
      <c r="M464" s="252"/>
      <c r="N464" s="252"/>
      <c r="O464" s="252"/>
    </row>
    <row r="465" spans="1:15" hidden="1">
      <c r="A465" s="262">
        <v>45733</v>
      </c>
      <c r="B465" s="252" t="s">
        <v>808</v>
      </c>
      <c r="C465" s="252" t="s">
        <v>151</v>
      </c>
      <c r="D465" s="252" t="s">
        <v>119</v>
      </c>
      <c r="E465" s="263">
        <v>10000</v>
      </c>
      <c r="F465" s="254">
        <v>17.251908923722411</v>
      </c>
      <c r="G465" s="255">
        <v>579.64599999999996</v>
      </c>
      <c r="H465" s="256" t="s">
        <v>583</v>
      </c>
      <c r="I465" s="256" t="s">
        <v>856</v>
      </c>
      <c r="J465" s="256" t="s">
        <v>97</v>
      </c>
      <c r="K465" s="256" t="s">
        <v>1133</v>
      </c>
      <c r="L465" s="256" t="s">
        <v>154</v>
      </c>
      <c r="M465" s="252"/>
      <c r="N465" s="252"/>
      <c r="O465" s="252"/>
    </row>
    <row r="466" spans="1:15" hidden="1">
      <c r="A466" s="262">
        <v>45733</v>
      </c>
      <c r="B466" s="252" t="s">
        <v>809</v>
      </c>
      <c r="C466" s="252" t="s">
        <v>151</v>
      </c>
      <c r="D466" s="253" t="s">
        <v>116</v>
      </c>
      <c r="E466" s="263">
        <v>10000</v>
      </c>
      <c r="F466" s="254">
        <v>17.251908923722411</v>
      </c>
      <c r="G466" s="255">
        <v>579.64599999999996</v>
      </c>
      <c r="H466" s="256" t="s">
        <v>583</v>
      </c>
      <c r="I466" s="256" t="s">
        <v>857</v>
      </c>
      <c r="J466" s="256" t="s">
        <v>97</v>
      </c>
      <c r="K466" s="256" t="s">
        <v>1133</v>
      </c>
      <c r="L466" s="256" t="s">
        <v>154</v>
      </c>
      <c r="M466" s="252"/>
      <c r="N466" s="252"/>
      <c r="O466" s="252"/>
    </row>
    <row r="467" spans="1:15" hidden="1">
      <c r="A467" s="262">
        <v>45733</v>
      </c>
      <c r="B467" s="252" t="s">
        <v>810</v>
      </c>
      <c r="C467" s="252" t="s">
        <v>151</v>
      </c>
      <c r="D467" s="253" t="s">
        <v>442</v>
      </c>
      <c r="E467" s="263">
        <v>5000</v>
      </c>
      <c r="F467" s="254">
        <v>8.6259544618612054</v>
      </c>
      <c r="G467" s="255">
        <v>579.64599999999996</v>
      </c>
      <c r="H467" s="256" t="s">
        <v>583</v>
      </c>
      <c r="I467" s="256" t="s">
        <v>858</v>
      </c>
      <c r="J467" s="256" t="s">
        <v>97</v>
      </c>
      <c r="K467" s="256" t="s">
        <v>1133</v>
      </c>
      <c r="L467" s="256" t="s">
        <v>154</v>
      </c>
      <c r="M467" s="252"/>
      <c r="N467" s="252"/>
      <c r="O467" s="252"/>
    </row>
    <row r="468" spans="1:15" hidden="1">
      <c r="A468" s="262">
        <v>45733</v>
      </c>
      <c r="B468" s="252" t="s">
        <v>1047</v>
      </c>
      <c r="C468" s="258" t="s">
        <v>176</v>
      </c>
      <c r="D468" s="253" t="s">
        <v>116</v>
      </c>
      <c r="E468" s="263">
        <v>120000</v>
      </c>
      <c r="F468" s="254">
        <v>207.02290708466893</v>
      </c>
      <c r="G468" s="255">
        <v>579.64599999999996</v>
      </c>
      <c r="H468" s="256" t="s">
        <v>186</v>
      </c>
      <c r="I468" s="256" t="s">
        <v>1048</v>
      </c>
      <c r="J468" s="256" t="s">
        <v>97</v>
      </c>
      <c r="K468" s="256" t="s">
        <v>1133</v>
      </c>
      <c r="L468" s="256" t="s">
        <v>154</v>
      </c>
      <c r="M468" s="252"/>
      <c r="N468" s="252"/>
      <c r="O468" s="252"/>
    </row>
    <row r="469" spans="1:15" hidden="1">
      <c r="A469" s="262">
        <v>45733</v>
      </c>
      <c r="B469" s="252" t="s">
        <v>1067</v>
      </c>
      <c r="C469" s="258" t="s">
        <v>176</v>
      </c>
      <c r="D469" s="252" t="s">
        <v>2088</v>
      </c>
      <c r="E469" s="263">
        <v>90000</v>
      </c>
      <c r="F469" s="254">
        <v>155.26718031350171</v>
      </c>
      <c r="G469" s="255">
        <v>579.64599999999996</v>
      </c>
      <c r="H469" s="256" t="s">
        <v>189</v>
      </c>
      <c r="I469" s="256" t="s">
        <v>1068</v>
      </c>
      <c r="J469" s="256" t="s">
        <v>97</v>
      </c>
      <c r="K469" s="256" t="s">
        <v>1133</v>
      </c>
      <c r="L469" s="256" t="s">
        <v>154</v>
      </c>
      <c r="M469" s="252"/>
      <c r="N469" s="252"/>
      <c r="O469" s="252"/>
    </row>
    <row r="470" spans="1:15" hidden="1">
      <c r="A470" s="262">
        <v>45733</v>
      </c>
      <c r="B470" s="252" t="s">
        <v>1088</v>
      </c>
      <c r="C470" s="258" t="s">
        <v>176</v>
      </c>
      <c r="D470" s="253" t="s">
        <v>116</v>
      </c>
      <c r="E470" s="263">
        <v>190000</v>
      </c>
      <c r="F470" s="254">
        <v>327.78626955072582</v>
      </c>
      <c r="G470" s="264">
        <v>579.64599999999996</v>
      </c>
      <c r="H470" s="256" t="s">
        <v>196</v>
      </c>
      <c r="I470" s="256" t="s">
        <v>1089</v>
      </c>
      <c r="J470" s="256" t="s">
        <v>97</v>
      </c>
      <c r="K470" s="260" t="s">
        <v>201</v>
      </c>
      <c r="L470" s="256" t="s">
        <v>154</v>
      </c>
      <c r="M470" s="252"/>
      <c r="N470" s="252"/>
      <c r="O470" s="252"/>
    </row>
    <row r="471" spans="1:15" hidden="1">
      <c r="A471" s="262">
        <v>45733</v>
      </c>
      <c r="B471" s="252" t="s">
        <v>1100</v>
      </c>
      <c r="C471" s="258" t="s">
        <v>176</v>
      </c>
      <c r="D471" s="252" t="s">
        <v>2088</v>
      </c>
      <c r="E471" s="263">
        <v>90000</v>
      </c>
      <c r="F471" s="254">
        <v>155.26718031350171</v>
      </c>
      <c r="G471" s="255">
        <v>579.64599999999996</v>
      </c>
      <c r="H471" s="256" t="s">
        <v>212</v>
      </c>
      <c r="I471" s="256" t="s">
        <v>1101</v>
      </c>
      <c r="J471" s="256" t="s">
        <v>97</v>
      </c>
      <c r="K471" s="256" t="s">
        <v>1133</v>
      </c>
      <c r="L471" s="256" t="s">
        <v>154</v>
      </c>
      <c r="M471" s="252"/>
      <c r="N471" s="252"/>
      <c r="O471" s="252"/>
    </row>
    <row r="472" spans="1:15" hidden="1">
      <c r="A472" s="262">
        <v>45734</v>
      </c>
      <c r="B472" s="252" t="s">
        <v>3867</v>
      </c>
      <c r="C472" s="258" t="s">
        <v>176</v>
      </c>
      <c r="D472" s="253" t="s">
        <v>442</v>
      </c>
      <c r="E472" s="263">
        <v>45000</v>
      </c>
      <c r="F472" s="254">
        <v>77.633590156750856</v>
      </c>
      <c r="G472" s="255">
        <v>579.64599999999996</v>
      </c>
      <c r="H472" s="256" t="s">
        <v>174</v>
      </c>
      <c r="I472" s="256" t="s">
        <v>999</v>
      </c>
      <c r="J472" s="256" t="s">
        <v>97</v>
      </c>
      <c r="K472" s="256" t="s">
        <v>1133</v>
      </c>
      <c r="L472" s="256" t="s">
        <v>154</v>
      </c>
      <c r="M472" s="252"/>
      <c r="N472" s="252"/>
      <c r="O472" s="252"/>
    </row>
    <row r="473" spans="1:15" hidden="1">
      <c r="A473" s="262">
        <v>45734</v>
      </c>
      <c r="B473" s="252" t="s">
        <v>3879</v>
      </c>
      <c r="C473" s="258" t="s">
        <v>173</v>
      </c>
      <c r="D473" s="253" t="s">
        <v>442</v>
      </c>
      <c r="E473" s="263">
        <v>6000</v>
      </c>
      <c r="F473" s="254">
        <v>10.351145354233447</v>
      </c>
      <c r="G473" s="255">
        <v>579.64599999999996</v>
      </c>
      <c r="H473" s="256" t="s">
        <v>174</v>
      </c>
      <c r="I473" s="256" t="s">
        <v>1000</v>
      </c>
      <c r="J473" s="256" t="s">
        <v>97</v>
      </c>
      <c r="K473" s="256" t="s">
        <v>1133</v>
      </c>
      <c r="L473" s="256" t="s">
        <v>154</v>
      </c>
      <c r="M473" s="252"/>
      <c r="N473" s="252"/>
      <c r="O473" s="252"/>
    </row>
    <row r="474" spans="1:15" hidden="1">
      <c r="A474" s="262">
        <v>45734</v>
      </c>
      <c r="B474" s="252" t="s">
        <v>3698</v>
      </c>
      <c r="C474" s="258" t="s">
        <v>176</v>
      </c>
      <c r="D474" s="253" t="s">
        <v>442</v>
      </c>
      <c r="E474" s="263">
        <v>30000</v>
      </c>
      <c r="F474" s="254">
        <v>51.755726771167232</v>
      </c>
      <c r="G474" s="264">
        <v>579.64599999999996</v>
      </c>
      <c r="H474" s="256" t="s">
        <v>316</v>
      </c>
      <c r="I474" s="256" t="s">
        <v>1022</v>
      </c>
      <c r="J474" s="256" t="s">
        <v>97</v>
      </c>
      <c r="K474" s="260" t="s">
        <v>201</v>
      </c>
      <c r="L474" s="256" t="s">
        <v>154</v>
      </c>
      <c r="M474" s="252"/>
      <c r="N474" s="252"/>
      <c r="O474" s="252"/>
    </row>
    <row r="475" spans="1:15" hidden="1">
      <c r="A475" s="262">
        <v>45734</v>
      </c>
      <c r="B475" s="252" t="s">
        <v>3694</v>
      </c>
      <c r="C475" s="258" t="s">
        <v>173</v>
      </c>
      <c r="D475" s="253" t="s">
        <v>442</v>
      </c>
      <c r="E475" s="263">
        <v>7000</v>
      </c>
      <c r="F475" s="254">
        <v>12.076336246605688</v>
      </c>
      <c r="G475" s="264">
        <v>579.64599999999996</v>
      </c>
      <c r="H475" s="256" t="s">
        <v>316</v>
      </c>
      <c r="I475" s="256" t="s">
        <v>1023</v>
      </c>
      <c r="J475" s="256" t="s">
        <v>97</v>
      </c>
      <c r="K475" s="260" t="s">
        <v>201</v>
      </c>
      <c r="L475" s="256" t="s">
        <v>154</v>
      </c>
      <c r="M475" s="252"/>
      <c r="N475" s="252"/>
      <c r="O475" s="252"/>
    </row>
    <row r="476" spans="1:15" hidden="1">
      <c r="A476" s="262">
        <v>45734</v>
      </c>
      <c r="B476" s="252" t="s">
        <v>1078</v>
      </c>
      <c r="C476" s="258" t="s">
        <v>173</v>
      </c>
      <c r="D476" s="253" t="s">
        <v>116</v>
      </c>
      <c r="E476" s="263">
        <v>7000</v>
      </c>
      <c r="F476" s="254">
        <v>12.076336246605688</v>
      </c>
      <c r="G476" s="264">
        <v>579.64599999999996</v>
      </c>
      <c r="H476" s="256" t="s">
        <v>192</v>
      </c>
      <c r="I476" s="256" t="s">
        <v>1079</v>
      </c>
      <c r="J476" s="256" t="s">
        <v>97</v>
      </c>
      <c r="K476" s="260" t="s">
        <v>201</v>
      </c>
      <c r="L476" s="256" t="s">
        <v>154</v>
      </c>
      <c r="M476" s="252"/>
      <c r="N476" s="252"/>
      <c r="O476" s="252"/>
    </row>
    <row r="477" spans="1:15" hidden="1">
      <c r="A477" s="262">
        <v>45734</v>
      </c>
      <c r="B477" s="252" t="s">
        <v>1155</v>
      </c>
      <c r="C477" s="258" t="s">
        <v>173</v>
      </c>
      <c r="D477" s="253" t="s">
        <v>116</v>
      </c>
      <c r="E477" s="263">
        <v>21000</v>
      </c>
      <c r="F477" s="254">
        <v>36.229008739817061</v>
      </c>
      <c r="G477" s="264">
        <v>579.64599999999996</v>
      </c>
      <c r="H477" s="256" t="s">
        <v>192</v>
      </c>
      <c r="I477" s="256" t="s">
        <v>859</v>
      </c>
      <c r="J477" s="256" t="s">
        <v>97</v>
      </c>
      <c r="K477" s="260" t="s">
        <v>201</v>
      </c>
      <c r="L477" s="256" t="s">
        <v>154</v>
      </c>
      <c r="M477" s="252"/>
      <c r="N477" s="252"/>
      <c r="O477" s="252"/>
    </row>
    <row r="478" spans="1:15" hidden="1">
      <c r="A478" s="262">
        <v>45734</v>
      </c>
      <c r="B478" s="252" t="s">
        <v>1156</v>
      </c>
      <c r="C478" s="258" t="s">
        <v>176</v>
      </c>
      <c r="D478" s="253" t="s">
        <v>116</v>
      </c>
      <c r="E478" s="263">
        <v>75000</v>
      </c>
      <c r="F478" s="254">
        <v>129.38931692791809</v>
      </c>
      <c r="G478" s="264">
        <v>579.64599999999996</v>
      </c>
      <c r="H478" s="256" t="s">
        <v>192</v>
      </c>
      <c r="I478" s="256" t="s">
        <v>860</v>
      </c>
      <c r="J478" s="256" t="s">
        <v>97</v>
      </c>
      <c r="K478" s="260" t="s">
        <v>201</v>
      </c>
      <c r="L478" s="256" t="s">
        <v>154</v>
      </c>
      <c r="M478" s="252"/>
      <c r="N478" s="252"/>
      <c r="O478" s="252"/>
    </row>
    <row r="479" spans="1:15" hidden="1">
      <c r="A479" s="262">
        <v>45734</v>
      </c>
      <c r="B479" s="252" t="s">
        <v>811</v>
      </c>
      <c r="C479" s="258" t="s">
        <v>173</v>
      </c>
      <c r="D479" s="253" t="s">
        <v>116</v>
      </c>
      <c r="E479" s="263">
        <v>21000</v>
      </c>
      <c r="F479" s="254">
        <v>36.229008739817061</v>
      </c>
      <c r="G479" s="264">
        <v>579.64599999999996</v>
      </c>
      <c r="H479" s="256" t="s">
        <v>192</v>
      </c>
      <c r="I479" s="256" t="s">
        <v>861</v>
      </c>
      <c r="J479" s="256" t="s">
        <v>97</v>
      </c>
      <c r="K479" s="260" t="s">
        <v>201</v>
      </c>
      <c r="L479" s="256" t="s">
        <v>154</v>
      </c>
      <c r="M479" s="252"/>
      <c r="N479" s="252"/>
      <c r="O479" s="252"/>
    </row>
    <row r="480" spans="1:15" hidden="1">
      <c r="A480" s="262">
        <v>45734</v>
      </c>
      <c r="B480" s="252" t="s">
        <v>2093</v>
      </c>
      <c r="C480" s="258" t="s">
        <v>176</v>
      </c>
      <c r="D480" s="253" t="s">
        <v>116</v>
      </c>
      <c r="E480" s="263">
        <v>50000</v>
      </c>
      <c r="F480" s="254">
        <v>86.259544618612054</v>
      </c>
      <c r="G480" s="264">
        <v>579.64599999999996</v>
      </c>
      <c r="H480" s="256" t="s">
        <v>192</v>
      </c>
      <c r="I480" s="256" t="s">
        <v>862</v>
      </c>
      <c r="J480" s="256" t="s">
        <v>97</v>
      </c>
      <c r="K480" s="260" t="s">
        <v>201</v>
      </c>
      <c r="L480" s="256" t="s">
        <v>154</v>
      </c>
      <c r="M480" s="252"/>
      <c r="N480" s="252"/>
      <c r="O480" s="252"/>
    </row>
    <row r="481" spans="1:15" hidden="1">
      <c r="A481" s="262">
        <v>45735</v>
      </c>
      <c r="B481" s="252" t="s">
        <v>1116</v>
      </c>
      <c r="C481" s="258" t="s">
        <v>176</v>
      </c>
      <c r="D481" s="252" t="s">
        <v>2088</v>
      </c>
      <c r="E481" s="263">
        <v>30000</v>
      </c>
      <c r="F481" s="254">
        <v>51.755726771167232</v>
      </c>
      <c r="G481" s="264">
        <v>579.64599999999996</v>
      </c>
      <c r="H481" s="256" t="s">
        <v>199</v>
      </c>
      <c r="I481" s="256" t="s">
        <v>1138</v>
      </c>
      <c r="J481" s="256" t="s">
        <v>97</v>
      </c>
      <c r="K481" s="260" t="s">
        <v>201</v>
      </c>
      <c r="L481" s="256" t="s">
        <v>154</v>
      </c>
      <c r="M481" s="252"/>
      <c r="N481" s="252"/>
      <c r="O481" s="252"/>
    </row>
    <row r="482" spans="1:15" hidden="1">
      <c r="A482" s="262">
        <v>45735</v>
      </c>
      <c r="B482" s="252" t="s">
        <v>812</v>
      </c>
      <c r="C482" s="259" t="s">
        <v>2087</v>
      </c>
      <c r="D482" s="252" t="s">
        <v>117</v>
      </c>
      <c r="E482" s="263">
        <v>19830</v>
      </c>
      <c r="F482" s="254">
        <v>34.210535395741545</v>
      </c>
      <c r="G482" s="264">
        <v>579.64599999999996</v>
      </c>
      <c r="H482" s="256" t="s">
        <v>583</v>
      </c>
      <c r="I482" s="256" t="s">
        <v>863</v>
      </c>
      <c r="J482" s="256" t="s">
        <v>97</v>
      </c>
      <c r="K482" s="260" t="s">
        <v>201</v>
      </c>
      <c r="L482" s="256" t="s">
        <v>154</v>
      </c>
      <c r="M482" s="252"/>
      <c r="N482" s="252"/>
      <c r="O482" s="252"/>
    </row>
    <row r="483" spans="1:15" hidden="1">
      <c r="A483" s="262">
        <v>45735</v>
      </c>
      <c r="B483" s="252" t="s">
        <v>813</v>
      </c>
      <c r="C483" s="258" t="s">
        <v>1164</v>
      </c>
      <c r="D483" s="252" t="s">
        <v>117</v>
      </c>
      <c r="E483" s="263">
        <v>300000</v>
      </c>
      <c r="F483" s="254">
        <v>517.55726771167235</v>
      </c>
      <c r="G483" s="264">
        <v>579.64599999999996</v>
      </c>
      <c r="H483" s="256" t="s">
        <v>583</v>
      </c>
      <c r="I483" s="256" t="s">
        <v>864</v>
      </c>
      <c r="J483" s="256" t="s">
        <v>97</v>
      </c>
      <c r="K483" s="260" t="s">
        <v>201</v>
      </c>
      <c r="L483" s="256" t="s">
        <v>154</v>
      </c>
      <c r="M483" s="252"/>
      <c r="N483" s="252"/>
      <c r="O483" s="252"/>
    </row>
    <row r="484" spans="1:15" hidden="1">
      <c r="A484" s="262">
        <v>45735</v>
      </c>
      <c r="B484" s="252" t="s">
        <v>3770</v>
      </c>
      <c r="C484" s="258" t="s">
        <v>176</v>
      </c>
      <c r="D484" s="253" t="s">
        <v>442</v>
      </c>
      <c r="E484" s="263">
        <v>120000</v>
      </c>
      <c r="F484" s="254">
        <v>207.02290708466893</v>
      </c>
      <c r="G484" s="264">
        <v>579.64599999999996</v>
      </c>
      <c r="H484" s="256" t="s">
        <v>183</v>
      </c>
      <c r="I484" s="256" t="s">
        <v>975</v>
      </c>
      <c r="J484" s="256" t="s">
        <v>97</v>
      </c>
      <c r="K484" s="260" t="s">
        <v>201</v>
      </c>
      <c r="L484" s="256" t="s">
        <v>154</v>
      </c>
      <c r="M484" s="252"/>
      <c r="N484" s="252"/>
      <c r="O484" s="252"/>
    </row>
    <row r="485" spans="1:15" hidden="1">
      <c r="A485" s="262">
        <v>45735</v>
      </c>
      <c r="B485" s="252" t="s">
        <v>1001</v>
      </c>
      <c r="C485" s="252" t="s">
        <v>307</v>
      </c>
      <c r="D485" s="253" t="s">
        <v>442</v>
      </c>
      <c r="E485" s="263">
        <v>10000</v>
      </c>
      <c r="F485" s="254">
        <v>17.251908923722411</v>
      </c>
      <c r="G485" s="264">
        <v>579.64599999999996</v>
      </c>
      <c r="H485" s="256" t="s">
        <v>174</v>
      </c>
      <c r="I485" s="256" t="s">
        <v>1002</v>
      </c>
      <c r="J485" s="256" t="s">
        <v>97</v>
      </c>
      <c r="K485" s="260" t="s">
        <v>201</v>
      </c>
      <c r="L485" s="256" t="s">
        <v>154</v>
      </c>
      <c r="M485" s="252"/>
      <c r="N485" s="252"/>
      <c r="O485" s="252"/>
    </row>
    <row r="486" spans="1:15" hidden="1">
      <c r="A486" s="262">
        <v>45735</v>
      </c>
      <c r="B486" s="252" t="s">
        <v>1080</v>
      </c>
      <c r="C486" s="258" t="s">
        <v>176</v>
      </c>
      <c r="D486" s="253" t="s">
        <v>116</v>
      </c>
      <c r="E486" s="263">
        <v>30000</v>
      </c>
      <c r="F486" s="254">
        <v>51.755726771167232</v>
      </c>
      <c r="G486" s="264">
        <v>579.64599999999996</v>
      </c>
      <c r="H486" s="256" t="s">
        <v>192</v>
      </c>
      <c r="I486" s="256" t="s">
        <v>1081</v>
      </c>
      <c r="J486" s="256" t="s">
        <v>97</v>
      </c>
      <c r="K486" s="260" t="s">
        <v>201</v>
      </c>
      <c r="L486" s="256" t="s">
        <v>154</v>
      </c>
      <c r="M486" s="252"/>
      <c r="N486" s="252"/>
      <c r="O486" s="252"/>
    </row>
    <row r="487" spans="1:15" hidden="1">
      <c r="A487" s="262">
        <v>45736</v>
      </c>
      <c r="B487" s="252" t="s">
        <v>966</v>
      </c>
      <c r="C487" s="258" t="s">
        <v>365</v>
      </c>
      <c r="D487" s="253" t="s">
        <v>442</v>
      </c>
      <c r="E487" s="263">
        <v>31000</v>
      </c>
      <c r="F487" s="254">
        <v>53.480917663539472</v>
      </c>
      <c r="G487" s="264">
        <v>579.64599999999996</v>
      </c>
      <c r="H487" s="256" t="s">
        <v>152</v>
      </c>
      <c r="I487" s="256" t="s">
        <v>967</v>
      </c>
      <c r="J487" s="256" t="s">
        <v>97</v>
      </c>
      <c r="K487" s="260" t="s">
        <v>201</v>
      </c>
      <c r="L487" s="256" t="s">
        <v>154</v>
      </c>
      <c r="M487" s="252"/>
      <c r="N487" s="252"/>
      <c r="O487" s="252"/>
    </row>
    <row r="488" spans="1:15" hidden="1">
      <c r="A488" s="262">
        <v>45736</v>
      </c>
      <c r="B488" s="252" t="s">
        <v>635</v>
      </c>
      <c r="C488" s="259" t="s">
        <v>2087</v>
      </c>
      <c r="D488" s="252" t="s">
        <v>117</v>
      </c>
      <c r="E488" s="263">
        <v>2017</v>
      </c>
      <c r="F488" s="254">
        <v>3.4797100299148105</v>
      </c>
      <c r="G488" s="264">
        <v>579.64599999999996</v>
      </c>
      <c r="H488" s="256" t="s">
        <v>152</v>
      </c>
      <c r="I488" s="256" t="s">
        <v>968</v>
      </c>
      <c r="J488" s="256" t="s">
        <v>97</v>
      </c>
      <c r="K488" s="260" t="s">
        <v>201</v>
      </c>
      <c r="L488" s="256" t="s">
        <v>154</v>
      </c>
      <c r="M488" s="252"/>
      <c r="N488" s="252"/>
      <c r="O488" s="252"/>
    </row>
    <row r="489" spans="1:15" hidden="1">
      <c r="A489" s="262">
        <v>45736</v>
      </c>
      <c r="B489" s="252" t="s">
        <v>3694</v>
      </c>
      <c r="C489" s="258" t="s">
        <v>173</v>
      </c>
      <c r="D489" s="253" t="s">
        <v>442</v>
      </c>
      <c r="E489" s="263">
        <v>6000</v>
      </c>
      <c r="F489" s="254">
        <v>10.351145354233447</v>
      </c>
      <c r="G489" s="264">
        <v>579.64599999999996</v>
      </c>
      <c r="H489" s="256" t="s">
        <v>316</v>
      </c>
      <c r="I489" s="256" t="s">
        <v>1024</v>
      </c>
      <c r="J489" s="256" t="s">
        <v>97</v>
      </c>
      <c r="K489" s="260" t="s">
        <v>201</v>
      </c>
      <c r="L489" s="256" t="s">
        <v>154</v>
      </c>
      <c r="M489" s="252"/>
      <c r="N489" s="252"/>
      <c r="O489" s="252"/>
    </row>
    <row r="490" spans="1:15" hidden="1">
      <c r="A490" s="262">
        <v>45736</v>
      </c>
      <c r="B490" s="252" t="s">
        <v>804</v>
      </c>
      <c r="C490" s="259" t="s">
        <v>2087</v>
      </c>
      <c r="D490" s="252" t="s">
        <v>117</v>
      </c>
      <c r="E490" s="263">
        <v>6320</v>
      </c>
      <c r="F490" s="254">
        <v>10.903206439792564</v>
      </c>
      <c r="G490" s="264">
        <v>579.64599999999996</v>
      </c>
      <c r="H490" s="256" t="s">
        <v>322</v>
      </c>
      <c r="I490" s="256" t="s">
        <v>865</v>
      </c>
      <c r="J490" s="256" t="s">
        <v>97</v>
      </c>
      <c r="K490" s="260" t="s">
        <v>201</v>
      </c>
      <c r="L490" s="256" t="s">
        <v>154</v>
      </c>
      <c r="M490" s="252"/>
      <c r="N490" s="252"/>
      <c r="O490" s="252"/>
    </row>
    <row r="491" spans="1:15" hidden="1">
      <c r="A491" s="262">
        <v>45737</v>
      </c>
      <c r="B491" s="252" t="s">
        <v>812</v>
      </c>
      <c r="C491" s="259" t="s">
        <v>2087</v>
      </c>
      <c r="D491" s="252" t="s">
        <v>117</v>
      </c>
      <c r="E491" s="263">
        <v>14640</v>
      </c>
      <c r="F491" s="254">
        <v>25.256794664329611</v>
      </c>
      <c r="G491" s="264">
        <v>579.64599999999996</v>
      </c>
      <c r="H491" s="256" t="s">
        <v>583</v>
      </c>
      <c r="I491" s="256" t="s">
        <v>866</v>
      </c>
      <c r="J491" s="256" t="s">
        <v>97</v>
      </c>
      <c r="K491" s="260" t="s">
        <v>201</v>
      </c>
      <c r="L491" s="256" t="s">
        <v>154</v>
      </c>
      <c r="M491" s="252"/>
      <c r="N491" s="252"/>
      <c r="O491" s="252"/>
    </row>
    <row r="492" spans="1:15" hidden="1">
      <c r="A492" s="262">
        <v>45737</v>
      </c>
      <c r="B492" s="252" t="s">
        <v>3880</v>
      </c>
      <c r="C492" s="258" t="s">
        <v>176</v>
      </c>
      <c r="D492" s="253" t="s">
        <v>442</v>
      </c>
      <c r="E492" s="263">
        <v>70000</v>
      </c>
      <c r="F492" s="254">
        <v>120.76336246605688</v>
      </c>
      <c r="G492" s="264">
        <v>579.64599999999996</v>
      </c>
      <c r="H492" s="256" t="s">
        <v>174</v>
      </c>
      <c r="I492" s="256" t="s">
        <v>1003</v>
      </c>
      <c r="J492" s="256" t="s">
        <v>97</v>
      </c>
      <c r="K492" s="260" t="s">
        <v>201</v>
      </c>
      <c r="L492" s="256" t="s">
        <v>154</v>
      </c>
      <c r="M492" s="252"/>
      <c r="N492" s="252"/>
      <c r="O492" s="252"/>
    </row>
    <row r="493" spans="1:15" hidden="1">
      <c r="A493" s="262">
        <v>45737</v>
      </c>
      <c r="B493" s="252" t="s">
        <v>3881</v>
      </c>
      <c r="C493" s="258" t="s">
        <v>173</v>
      </c>
      <c r="D493" s="253" t="s">
        <v>442</v>
      </c>
      <c r="E493" s="263">
        <v>9000</v>
      </c>
      <c r="F493" s="254">
        <v>15.526718031350169</v>
      </c>
      <c r="G493" s="264">
        <v>579.64599999999996</v>
      </c>
      <c r="H493" s="256" t="s">
        <v>174</v>
      </c>
      <c r="I493" s="256" t="s">
        <v>1004</v>
      </c>
      <c r="J493" s="256" t="s">
        <v>97</v>
      </c>
      <c r="K493" s="260" t="s">
        <v>201</v>
      </c>
      <c r="L493" s="256" t="s">
        <v>154</v>
      </c>
      <c r="M493" s="252"/>
      <c r="N493" s="252"/>
      <c r="O493" s="252"/>
    </row>
    <row r="494" spans="1:15" hidden="1">
      <c r="A494" s="262">
        <v>45737</v>
      </c>
      <c r="B494" s="252" t="s">
        <v>3699</v>
      </c>
      <c r="C494" s="258" t="s">
        <v>176</v>
      </c>
      <c r="D494" s="253" t="s">
        <v>442</v>
      </c>
      <c r="E494" s="263">
        <v>70000</v>
      </c>
      <c r="F494" s="254">
        <v>120.76336246605688</v>
      </c>
      <c r="G494" s="264">
        <v>579.64599999999996</v>
      </c>
      <c r="H494" s="256" t="s">
        <v>316</v>
      </c>
      <c r="I494" s="256" t="s">
        <v>1025</v>
      </c>
      <c r="J494" s="256" t="s">
        <v>97</v>
      </c>
      <c r="K494" s="260" t="s">
        <v>201</v>
      </c>
      <c r="L494" s="256" t="s">
        <v>154</v>
      </c>
      <c r="M494" s="252"/>
      <c r="N494" s="252"/>
      <c r="O494" s="252"/>
    </row>
    <row r="495" spans="1:15" hidden="1">
      <c r="A495" s="262">
        <v>45737</v>
      </c>
      <c r="B495" s="252" t="s">
        <v>737</v>
      </c>
      <c r="C495" s="258" t="s">
        <v>173</v>
      </c>
      <c r="D495" s="253" t="s">
        <v>116</v>
      </c>
      <c r="E495" s="263">
        <v>7000</v>
      </c>
      <c r="F495" s="254">
        <v>12.076336246605688</v>
      </c>
      <c r="G495" s="264">
        <v>579.64599999999996</v>
      </c>
      <c r="H495" s="256" t="s">
        <v>192</v>
      </c>
      <c r="I495" s="256" t="s">
        <v>1082</v>
      </c>
      <c r="J495" s="256" t="s">
        <v>97</v>
      </c>
      <c r="K495" s="260" t="s">
        <v>201</v>
      </c>
      <c r="L495" s="256" t="s">
        <v>154</v>
      </c>
      <c r="M495" s="252"/>
      <c r="N495" s="252"/>
      <c r="O495" s="252"/>
    </row>
    <row r="496" spans="1:15" hidden="1">
      <c r="A496" s="262">
        <v>45738</v>
      </c>
      <c r="B496" s="252" t="s">
        <v>1117</v>
      </c>
      <c r="C496" s="258" t="s">
        <v>176</v>
      </c>
      <c r="D496" s="252" t="s">
        <v>2088</v>
      </c>
      <c r="E496" s="263">
        <v>11800</v>
      </c>
      <c r="F496" s="254">
        <v>20.357252529992444</v>
      </c>
      <c r="G496" s="264">
        <v>579.64599999999996</v>
      </c>
      <c r="H496" s="256" t="s">
        <v>199</v>
      </c>
      <c r="I496" s="256" t="s">
        <v>1139</v>
      </c>
      <c r="J496" s="256" t="s">
        <v>97</v>
      </c>
      <c r="K496" s="260" t="s">
        <v>201</v>
      </c>
      <c r="L496" s="256" t="s">
        <v>154</v>
      </c>
      <c r="M496" s="252"/>
      <c r="N496" s="252"/>
      <c r="O496" s="252"/>
    </row>
    <row r="497" spans="1:15" hidden="1">
      <c r="A497" s="262">
        <v>45738</v>
      </c>
      <c r="B497" s="252" t="s">
        <v>976</v>
      </c>
      <c r="C497" s="258" t="s">
        <v>365</v>
      </c>
      <c r="D497" s="253" t="s">
        <v>442</v>
      </c>
      <c r="E497" s="263">
        <v>90100</v>
      </c>
      <c r="F497" s="254">
        <v>155.43969940273894</v>
      </c>
      <c r="G497" s="264">
        <v>579.64599999999996</v>
      </c>
      <c r="H497" s="256" t="s">
        <v>183</v>
      </c>
      <c r="I497" s="256" t="s">
        <v>977</v>
      </c>
      <c r="J497" s="256" t="s">
        <v>97</v>
      </c>
      <c r="K497" s="260" t="s">
        <v>201</v>
      </c>
      <c r="L497" s="256" t="s">
        <v>154</v>
      </c>
      <c r="M497" s="252"/>
      <c r="N497" s="252"/>
      <c r="O497" s="252"/>
    </row>
    <row r="498" spans="1:15" hidden="1">
      <c r="A498" s="262">
        <v>45738</v>
      </c>
      <c r="B498" s="252" t="s">
        <v>3771</v>
      </c>
      <c r="C498" s="258" t="s">
        <v>173</v>
      </c>
      <c r="D498" s="253" t="s">
        <v>442</v>
      </c>
      <c r="E498" s="263">
        <v>15000</v>
      </c>
      <c r="F498" s="254">
        <v>25.877863385583616</v>
      </c>
      <c r="G498" s="264">
        <v>579.64599999999996</v>
      </c>
      <c r="H498" s="256" t="s">
        <v>183</v>
      </c>
      <c r="I498" s="256" t="s">
        <v>978</v>
      </c>
      <c r="J498" s="256" t="s">
        <v>97</v>
      </c>
      <c r="K498" s="260" t="s">
        <v>201</v>
      </c>
      <c r="L498" s="256" t="s">
        <v>154</v>
      </c>
      <c r="M498" s="252"/>
      <c r="N498" s="252"/>
      <c r="O498" s="252"/>
    </row>
    <row r="499" spans="1:15" hidden="1">
      <c r="A499" s="262">
        <v>45738</v>
      </c>
      <c r="B499" s="252" t="s">
        <v>3772</v>
      </c>
      <c r="C499" s="258" t="s">
        <v>173</v>
      </c>
      <c r="D499" s="253" t="s">
        <v>442</v>
      </c>
      <c r="E499" s="263">
        <v>15000</v>
      </c>
      <c r="F499" s="254">
        <v>25.877863385583616</v>
      </c>
      <c r="G499" s="264">
        <v>579.64599999999996</v>
      </c>
      <c r="H499" s="256" t="s">
        <v>183</v>
      </c>
      <c r="I499" s="256" t="s">
        <v>979</v>
      </c>
      <c r="J499" s="256" t="s">
        <v>97</v>
      </c>
      <c r="K499" s="260" t="s">
        <v>201</v>
      </c>
      <c r="L499" s="256" t="s">
        <v>154</v>
      </c>
      <c r="M499" s="252"/>
      <c r="N499" s="252"/>
      <c r="O499" s="252"/>
    </row>
    <row r="500" spans="1:15" hidden="1">
      <c r="A500" s="262">
        <v>45738</v>
      </c>
      <c r="B500" s="252" t="s">
        <v>3773</v>
      </c>
      <c r="C500" s="258" t="s">
        <v>173</v>
      </c>
      <c r="D500" s="253" t="s">
        <v>442</v>
      </c>
      <c r="E500" s="263">
        <v>50000</v>
      </c>
      <c r="F500" s="254">
        <v>86.259544618612054</v>
      </c>
      <c r="G500" s="264">
        <v>579.64599999999996</v>
      </c>
      <c r="H500" s="256" t="s">
        <v>183</v>
      </c>
      <c r="I500" s="256" t="s">
        <v>980</v>
      </c>
      <c r="J500" s="256" t="s">
        <v>97</v>
      </c>
      <c r="K500" s="260" t="s">
        <v>201</v>
      </c>
      <c r="L500" s="256" t="s">
        <v>154</v>
      </c>
      <c r="M500" s="252"/>
      <c r="N500" s="252"/>
      <c r="O500" s="252"/>
    </row>
    <row r="501" spans="1:15" hidden="1">
      <c r="A501" s="262">
        <v>45738</v>
      </c>
      <c r="B501" s="252" t="s">
        <v>3754</v>
      </c>
      <c r="C501" s="258" t="s">
        <v>173</v>
      </c>
      <c r="D501" s="253" t="s">
        <v>442</v>
      </c>
      <c r="E501" s="263">
        <v>7000</v>
      </c>
      <c r="F501" s="254">
        <v>12.076336246605688</v>
      </c>
      <c r="G501" s="264">
        <v>579.64599999999996</v>
      </c>
      <c r="H501" s="256" t="s">
        <v>183</v>
      </c>
      <c r="I501" s="256" t="s">
        <v>981</v>
      </c>
      <c r="J501" s="256" t="s">
        <v>97</v>
      </c>
      <c r="K501" s="260" t="s">
        <v>201</v>
      </c>
      <c r="L501" s="256" t="s">
        <v>154</v>
      </c>
      <c r="M501" s="252"/>
      <c r="N501" s="252"/>
      <c r="O501" s="252"/>
    </row>
    <row r="502" spans="1:15" hidden="1">
      <c r="A502" s="262">
        <v>45738</v>
      </c>
      <c r="B502" s="252" t="s">
        <v>3664</v>
      </c>
      <c r="C502" s="258" t="s">
        <v>176</v>
      </c>
      <c r="D502" s="253" t="s">
        <v>442</v>
      </c>
      <c r="E502" s="263">
        <v>225000</v>
      </c>
      <c r="F502" s="254">
        <v>388.16795078375424</v>
      </c>
      <c r="G502" s="264">
        <v>579.64599999999996</v>
      </c>
      <c r="H502" s="256" t="s">
        <v>322</v>
      </c>
      <c r="I502" s="256" t="s">
        <v>1037</v>
      </c>
      <c r="J502" s="256" t="s">
        <v>97</v>
      </c>
      <c r="K502" s="260" t="s">
        <v>201</v>
      </c>
      <c r="L502" s="256" t="s">
        <v>154</v>
      </c>
      <c r="M502" s="252"/>
      <c r="N502" s="252"/>
      <c r="O502" s="252"/>
    </row>
    <row r="503" spans="1:15" hidden="1">
      <c r="A503" s="262">
        <v>45738</v>
      </c>
      <c r="B503" s="252" t="s">
        <v>3661</v>
      </c>
      <c r="C503" s="258" t="s">
        <v>173</v>
      </c>
      <c r="D503" s="253" t="s">
        <v>442</v>
      </c>
      <c r="E503" s="263">
        <v>7000</v>
      </c>
      <c r="F503" s="254">
        <v>12.076336246605688</v>
      </c>
      <c r="G503" s="264">
        <v>579.64599999999996</v>
      </c>
      <c r="H503" s="256" t="s">
        <v>322</v>
      </c>
      <c r="I503" s="256" t="s">
        <v>1038</v>
      </c>
      <c r="J503" s="256" t="s">
        <v>97</v>
      </c>
      <c r="K503" s="260" t="s">
        <v>201</v>
      </c>
      <c r="L503" s="256" t="s">
        <v>154</v>
      </c>
      <c r="M503" s="252"/>
      <c r="N503" s="252"/>
      <c r="O503" s="252"/>
    </row>
    <row r="504" spans="1:15" hidden="1">
      <c r="A504" s="262">
        <v>45738</v>
      </c>
      <c r="B504" s="252" t="s">
        <v>246</v>
      </c>
      <c r="C504" s="258" t="s">
        <v>176</v>
      </c>
      <c r="D504" s="252" t="s">
        <v>2088</v>
      </c>
      <c r="E504" s="263">
        <v>9600</v>
      </c>
      <c r="F504" s="254">
        <v>16.561832566773514</v>
      </c>
      <c r="G504" s="264">
        <v>579.64599999999996</v>
      </c>
      <c r="H504" s="256" t="s">
        <v>186</v>
      </c>
      <c r="I504" s="256" t="s">
        <v>1049</v>
      </c>
      <c r="J504" s="256" t="s">
        <v>97</v>
      </c>
      <c r="K504" s="260" t="s">
        <v>201</v>
      </c>
      <c r="L504" s="256" t="s">
        <v>154</v>
      </c>
      <c r="M504" s="252"/>
      <c r="N504" s="252"/>
      <c r="O504" s="252"/>
    </row>
    <row r="505" spans="1:15" hidden="1">
      <c r="A505" s="262">
        <v>45738</v>
      </c>
      <c r="B505" s="252" t="s">
        <v>514</v>
      </c>
      <c r="C505" s="258" t="s">
        <v>176</v>
      </c>
      <c r="D505" s="252" t="s">
        <v>2088</v>
      </c>
      <c r="E505" s="263">
        <v>8900</v>
      </c>
      <c r="F505" s="254">
        <v>15.354198942112946</v>
      </c>
      <c r="G505" s="264">
        <v>579.64599999999996</v>
      </c>
      <c r="H505" s="256" t="s">
        <v>189</v>
      </c>
      <c r="I505" s="256" t="s">
        <v>1069</v>
      </c>
      <c r="J505" s="256" t="s">
        <v>97</v>
      </c>
      <c r="K505" s="260" t="s">
        <v>201</v>
      </c>
      <c r="L505" s="256" t="s">
        <v>154</v>
      </c>
      <c r="M505" s="252"/>
      <c r="N505" s="252"/>
      <c r="O505" s="252"/>
    </row>
    <row r="506" spans="1:15" hidden="1">
      <c r="A506" s="262">
        <v>45738</v>
      </c>
      <c r="B506" s="252" t="s">
        <v>1083</v>
      </c>
      <c r="C506" s="258" t="s">
        <v>176</v>
      </c>
      <c r="D506" s="253" t="s">
        <v>116</v>
      </c>
      <c r="E506" s="263">
        <v>45000</v>
      </c>
      <c r="F506" s="254">
        <v>77.633590156750856</v>
      </c>
      <c r="G506" s="255">
        <v>579.64599999999996</v>
      </c>
      <c r="H506" s="256" t="s">
        <v>192</v>
      </c>
      <c r="I506" s="256" t="s">
        <v>1084</v>
      </c>
      <c r="J506" s="256" t="s">
        <v>97</v>
      </c>
      <c r="K506" s="256" t="s">
        <v>1133</v>
      </c>
      <c r="L506" s="256" t="s">
        <v>154</v>
      </c>
      <c r="M506" s="252"/>
      <c r="N506" s="252"/>
      <c r="O506" s="252"/>
    </row>
    <row r="507" spans="1:15" hidden="1">
      <c r="A507" s="262">
        <v>45738</v>
      </c>
      <c r="B507" s="252" t="s">
        <v>1090</v>
      </c>
      <c r="C507" s="258" t="s">
        <v>173</v>
      </c>
      <c r="D507" s="252" t="s">
        <v>2088</v>
      </c>
      <c r="E507" s="263">
        <v>25000</v>
      </c>
      <c r="F507" s="254">
        <v>43.129772309306027</v>
      </c>
      <c r="G507" s="255">
        <v>579.64599999999996</v>
      </c>
      <c r="H507" s="256" t="s">
        <v>196</v>
      </c>
      <c r="I507" s="256" t="s">
        <v>1091</v>
      </c>
      <c r="J507" s="256" t="s">
        <v>97</v>
      </c>
      <c r="K507" s="256" t="s">
        <v>1133</v>
      </c>
      <c r="L507" s="256" t="s">
        <v>154</v>
      </c>
      <c r="M507" s="252"/>
      <c r="N507" s="252"/>
      <c r="O507" s="252"/>
    </row>
    <row r="508" spans="1:15" hidden="1">
      <c r="A508" s="262">
        <v>45738</v>
      </c>
      <c r="B508" s="252" t="s">
        <v>259</v>
      </c>
      <c r="C508" s="258" t="s">
        <v>176</v>
      </c>
      <c r="D508" s="253" t="s">
        <v>116</v>
      </c>
      <c r="E508" s="263">
        <v>19200</v>
      </c>
      <c r="F508" s="254">
        <v>33.123665133547028</v>
      </c>
      <c r="G508" s="255">
        <v>579.64599999999996</v>
      </c>
      <c r="H508" s="256" t="s">
        <v>196</v>
      </c>
      <c r="I508" s="256" t="s">
        <v>1092</v>
      </c>
      <c r="J508" s="256" t="s">
        <v>97</v>
      </c>
      <c r="K508" s="256" t="s">
        <v>1133</v>
      </c>
      <c r="L508" s="256" t="s">
        <v>154</v>
      </c>
      <c r="M508" s="252"/>
      <c r="N508" s="252"/>
      <c r="O508" s="252"/>
    </row>
    <row r="509" spans="1:15" hidden="1">
      <c r="A509" s="262">
        <v>45738</v>
      </c>
      <c r="B509" s="252" t="s">
        <v>261</v>
      </c>
      <c r="C509" s="258" t="s">
        <v>176</v>
      </c>
      <c r="D509" s="252" t="s">
        <v>2088</v>
      </c>
      <c r="E509" s="263">
        <v>9600</v>
      </c>
      <c r="F509" s="254">
        <v>16.561832566773514</v>
      </c>
      <c r="G509" s="255">
        <v>579.64599999999996</v>
      </c>
      <c r="H509" s="256" t="s">
        <v>212</v>
      </c>
      <c r="I509" s="256" t="s">
        <v>1102</v>
      </c>
      <c r="J509" s="256" t="s">
        <v>97</v>
      </c>
      <c r="K509" s="256" t="s">
        <v>1133</v>
      </c>
      <c r="L509" s="256" t="s">
        <v>154</v>
      </c>
      <c r="M509" s="252"/>
      <c r="N509" s="252"/>
      <c r="O509" s="252"/>
    </row>
    <row r="510" spans="1:15" hidden="1">
      <c r="A510" s="262">
        <v>45739</v>
      </c>
      <c r="B510" s="252" t="s">
        <v>3770</v>
      </c>
      <c r="C510" s="258" t="s">
        <v>176</v>
      </c>
      <c r="D510" s="252" t="s">
        <v>2088</v>
      </c>
      <c r="E510" s="263">
        <v>140000</v>
      </c>
      <c r="F510" s="254">
        <v>241.52672493211375</v>
      </c>
      <c r="G510" s="255">
        <v>579.64599999999996</v>
      </c>
      <c r="H510" s="256" t="s">
        <v>183</v>
      </c>
      <c r="I510" s="256" t="s">
        <v>982</v>
      </c>
      <c r="J510" s="256" t="s">
        <v>97</v>
      </c>
      <c r="K510" s="256" t="s">
        <v>1133</v>
      </c>
      <c r="L510" s="256" t="s">
        <v>154</v>
      </c>
      <c r="M510" s="252"/>
      <c r="N510" s="252"/>
      <c r="O510" s="252"/>
    </row>
    <row r="511" spans="1:15" hidden="1">
      <c r="A511" s="262">
        <v>45739</v>
      </c>
      <c r="B511" s="252" t="s">
        <v>3770</v>
      </c>
      <c r="C511" s="258" t="s">
        <v>176</v>
      </c>
      <c r="D511" s="252" t="s">
        <v>2088</v>
      </c>
      <c r="E511" s="263">
        <v>140000</v>
      </c>
      <c r="F511" s="254">
        <v>241.52672493211375</v>
      </c>
      <c r="G511" s="255">
        <v>579.64599999999996</v>
      </c>
      <c r="H511" s="256" t="s">
        <v>183</v>
      </c>
      <c r="I511" s="256" t="s">
        <v>983</v>
      </c>
      <c r="J511" s="256" t="s">
        <v>97</v>
      </c>
      <c r="K511" s="256" t="s">
        <v>1133</v>
      </c>
      <c r="L511" s="256" t="s">
        <v>154</v>
      </c>
      <c r="M511" s="252"/>
      <c r="N511" s="252"/>
      <c r="O511" s="252"/>
    </row>
    <row r="512" spans="1:15" hidden="1">
      <c r="A512" s="262">
        <v>45740</v>
      </c>
      <c r="B512" s="252" t="s">
        <v>1118</v>
      </c>
      <c r="C512" s="252" t="s">
        <v>264</v>
      </c>
      <c r="D512" s="252" t="s">
        <v>2088</v>
      </c>
      <c r="E512" s="263">
        <v>180000</v>
      </c>
      <c r="F512" s="254">
        <v>310.53436062700342</v>
      </c>
      <c r="G512" s="264">
        <v>579.64599999999996</v>
      </c>
      <c r="H512" s="256" t="s">
        <v>199</v>
      </c>
      <c r="I512" s="256" t="s">
        <v>1140</v>
      </c>
      <c r="J512" s="256" t="s">
        <v>97</v>
      </c>
      <c r="K512" s="260" t="s">
        <v>201</v>
      </c>
      <c r="L512" s="256" t="s">
        <v>154</v>
      </c>
      <c r="M512" s="252"/>
      <c r="N512" s="252"/>
      <c r="O512" s="252"/>
    </row>
    <row r="513" spans="1:15" hidden="1">
      <c r="A513" s="262">
        <v>45740</v>
      </c>
      <c r="B513" s="252" t="s">
        <v>1119</v>
      </c>
      <c r="C513" s="252" t="s">
        <v>264</v>
      </c>
      <c r="D513" s="252" t="s">
        <v>2088</v>
      </c>
      <c r="E513" s="263">
        <v>20000</v>
      </c>
      <c r="F513" s="254">
        <v>34.503817847444822</v>
      </c>
      <c r="G513" s="255">
        <v>579.64599999999996</v>
      </c>
      <c r="H513" s="256" t="s">
        <v>199</v>
      </c>
      <c r="I513" s="256" t="s">
        <v>1141</v>
      </c>
      <c r="J513" s="256" t="s">
        <v>97</v>
      </c>
      <c r="K513" s="256" t="s">
        <v>1133</v>
      </c>
      <c r="L513" s="256" t="s">
        <v>154</v>
      </c>
      <c r="M513" s="252"/>
      <c r="N513" s="252"/>
      <c r="O513" s="252"/>
    </row>
    <row r="514" spans="1:15" hidden="1">
      <c r="A514" s="262">
        <v>45740</v>
      </c>
      <c r="B514" s="252" t="s">
        <v>815</v>
      </c>
      <c r="C514" s="259" t="s">
        <v>2087</v>
      </c>
      <c r="D514" s="252" t="s">
        <v>117</v>
      </c>
      <c r="E514" s="263">
        <v>7780</v>
      </c>
      <c r="F514" s="254">
        <v>13.421985142656036</v>
      </c>
      <c r="G514" s="264">
        <v>579.64599999999996</v>
      </c>
      <c r="H514" s="256" t="s">
        <v>583</v>
      </c>
      <c r="I514" s="256" t="s">
        <v>868</v>
      </c>
      <c r="J514" s="256" t="s">
        <v>97</v>
      </c>
      <c r="K514" s="260" t="s">
        <v>201</v>
      </c>
      <c r="L514" s="256" t="s">
        <v>154</v>
      </c>
      <c r="M514" s="252"/>
      <c r="N514" s="252"/>
      <c r="O514" s="252"/>
    </row>
    <row r="515" spans="1:15" hidden="1">
      <c r="A515" s="262">
        <v>45740</v>
      </c>
      <c r="B515" s="252" t="s">
        <v>816</v>
      </c>
      <c r="C515" s="259" t="s">
        <v>2087</v>
      </c>
      <c r="D515" s="252" t="s">
        <v>117</v>
      </c>
      <c r="E515" s="263">
        <v>6300</v>
      </c>
      <c r="F515" s="254">
        <v>10.868702621945118</v>
      </c>
      <c r="G515" s="264">
        <v>579.64599999999996</v>
      </c>
      <c r="H515" s="256" t="s">
        <v>583</v>
      </c>
      <c r="I515" s="256" t="s">
        <v>869</v>
      </c>
      <c r="J515" s="256" t="s">
        <v>97</v>
      </c>
      <c r="K515" s="260" t="s">
        <v>201</v>
      </c>
      <c r="L515" s="256" t="s">
        <v>154</v>
      </c>
      <c r="M515" s="252"/>
      <c r="N515" s="252"/>
      <c r="O515" s="252"/>
    </row>
    <row r="516" spans="1:15" hidden="1">
      <c r="A516" s="262">
        <v>45740</v>
      </c>
      <c r="B516" s="252" t="s">
        <v>1157</v>
      </c>
      <c r="C516" s="258" t="s">
        <v>173</v>
      </c>
      <c r="D516" s="253" t="s">
        <v>116</v>
      </c>
      <c r="E516" s="263">
        <v>42000</v>
      </c>
      <c r="F516" s="254">
        <v>72.458017479634123</v>
      </c>
      <c r="G516" s="255">
        <v>579.64599999999996</v>
      </c>
      <c r="H516" s="256" t="s">
        <v>583</v>
      </c>
      <c r="I516" s="256" t="s">
        <v>870</v>
      </c>
      <c r="J516" s="256" t="s">
        <v>97</v>
      </c>
      <c r="K516" s="256" t="s">
        <v>1133</v>
      </c>
      <c r="L516" s="256" t="s">
        <v>154</v>
      </c>
      <c r="M516" s="252"/>
      <c r="N516" s="252"/>
      <c r="O516" s="252"/>
    </row>
    <row r="517" spans="1:15" hidden="1">
      <c r="A517" s="262">
        <v>45740</v>
      </c>
      <c r="B517" s="252" t="s">
        <v>3770</v>
      </c>
      <c r="C517" s="258" t="s">
        <v>176</v>
      </c>
      <c r="D517" s="253" t="s">
        <v>442</v>
      </c>
      <c r="E517" s="263">
        <v>30000</v>
      </c>
      <c r="F517" s="254">
        <v>51.755726771167232</v>
      </c>
      <c r="G517" s="255">
        <v>579.64599999999996</v>
      </c>
      <c r="H517" s="256" t="s">
        <v>183</v>
      </c>
      <c r="I517" s="256" t="s">
        <v>984</v>
      </c>
      <c r="J517" s="256" t="s">
        <v>97</v>
      </c>
      <c r="K517" s="256" t="s">
        <v>1133</v>
      </c>
      <c r="L517" s="256" t="s">
        <v>154</v>
      </c>
      <c r="M517" s="252"/>
      <c r="N517" s="252"/>
      <c r="O517" s="252"/>
    </row>
    <row r="518" spans="1:15" hidden="1">
      <c r="A518" s="262">
        <v>45740</v>
      </c>
      <c r="B518" s="252" t="s">
        <v>985</v>
      </c>
      <c r="C518" s="258" t="s">
        <v>173</v>
      </c>
      <c r="D518" s="253" t="s">
        <v>442</v>
      </c>
      <c r="E518" s="263">
        <v>68000</v>
      </c>
      <c r="F518" s="254">
        <v>117.3129806813124</v>
      </c>
      <c r="G518" s="255">
        <v>579.64599999999996</v>
      </c>
      <c r="H518" s="256" t="s">
        <v>183</v>
      </c>
      <c r="I518" s="256" t="s">
        <v>986</v>
      </c>
      <c r="J518" s="256" t="s">
        <v>97</v>
      </c>
      <c r="K518" s="256" t="s">
        <v>1133</v>
      </c>
      <c r="L518" s="256" t="s">
        <v>154</v>
      </c>
      <c r="M518" s="252"/>
      <c r="N518" s="252"/>
      <c r="O518" s="252"/>
    </row>
    <row r="519" spans="1:15" hidden="1">
      <c r="A519" s="262">
        <v>45740</v>
      </c>
      <c r="B519" s="252" t="s">
        <v>3881</v>
      </c>
      <c r="C519" s="258" t="s">
        <v>173</v>
      </c>
      <c r="D519" s="253" t="s">
        <v>442</v>
      </c>
      <c r="E519" s="263">
        <v>5000</v>
      </c>
      <c r="F519" s="254">
        <v>8.6259544618612054</v>
      </c>
      <c r="G519" s="255">
        <v>579.64599999999996</v>
      </c>
      <c r="H519" s="256" t="s">
        <v>174</v>
      </c>
      <c r="I519" s="256" t="s">
        <v>1005</v>
      </c>
      <c r="J519" s="256" t="s">
        <v>97</v>
      </c>
      <c r="K519" s="256" t="s">
        <v>1133</v>
      </c>
      <c r="L519" s="256" t="s">
        <v>154</v>
      </c>
      <c r="M519" s="252"/>
      <c r="N519" s="252"/>
      <c r="O519" s="252"/>
    </row>
    <row r="520" spans="1:15" hidden="1">
      <c r="A520" s="262">
        <v>45740</v>
      </c>
      <c r="B520" s="252" t="s">
        <v>3867</v>
      </c>
      <c r="C520" s="258" t="s">
        <v>176</v>
      </c>
      <c r="D520" s="253" t="s">
        <v>442</v>
      </c>
      <c r="E520" s="263">
        <v>45000</v>
      </c>
      <c r="F520" s="254">
        <v>77.633590156750856</v>
      </c>
      <c r="G520" s="255">
        <v>579.64599999999996</v>
      </c>
      <c r="H520" s="256" t="s">
        <v>174</v>
      </c>
      <c r="I520" s="256" t="s">
        <v>1006</v>
      </c>
      <c r="J520" s="256" t="s">
        <v>97</v>
      </c>
      <c r="K520" s="256" t="s">
        <v>1133</v>
      </c>
      <c r="L520" s="256" t="s">
        <v>154</v>
      </c>
      <c r="M520" s="252"/>
      <c r="N520" s="252"/>
      <c r="O520" s="252"/>
    </row>
    <row r="521" spans="1:15" hidden="1">
      <c r="A521" s="262">
        <v>45740</v>
      </c>
      <c r="B521" s="252" t="s">
        <v>3665</v>
      </c>
      <c r="C521" s="258" t="s">
        <v>176</v>
      </c>
      <c r="D521" s="253" t="s">
        <v>442</v>
      </c>
      <c r="E521" s="263">
        <v>30000</v>
      </c>
      <c r="F521" s="254">
        <v>51.755726771167232</v>
      </c>
      <c r="G521" s="255">
        <v>579.64599999999996</v>
      </c>
      <c r="H521" s="256" t="s">
        <v>322</v>
      </c>
      <c r="I521" s="256" t="s">
        <v>1039</v>
      </c>
      <c r="J521" s="256" t="s">
        <v>97</v>
      </c>
      <c r="K521" s="256" t="s">
        <v>1133</v>
      </c>
      <c r="L521" s="256" t="s">
        <v>154</v>
      </c>
      <c r="M521" s="252"/>
      <c r="N521" s="252"/>
      <c r="O521" s="252"/>
    </row>
    <row r="522" spans="1:15" hidden="1">
      <c r="A522" s="262">
        <v>45740</v>
      </c>
      <c r="B522" s="252" t="s">
        <v>814</v>
      </c>
      <c r="C522" s="258" t="s">
        <v>1164</v>
      </c>
      <c r="D522" s="252" t="s">
        <v>117</v>
      </c>
      <c r="E522" s="263">
        <v>101000</v>
      </c>
      <c r="F522" s="254">
        <v>174.24428012959635</v>
      </c>
      <c r="G522" s="255">
        <v>579.64599999999996</v>
      </c>
      <c r="H522" s="256" t="s">
        <v>192</v>
      </c>
      <c r="I522" s="256" t="s">
        <v>867</v>
      </c>
      <c r="J522" s="256" t="s">
        <v>97</v>
      </c>
      <c r="K522" s="256" t="s">
        <v>1133</v>
      </c>
      <c r="L522" s="256" t="s">
        <v>154</v>
      </c>
      <c r="M522" s="252"/>
      <c r="N522" s="252"/>
      <c r="O522" s="252"/>
    </row>
    <row r="523" spans="1:15" hidden="1">
      <c r="A523" s="262">
        <v>45740</v>
      </c>
      <c r="B523" s="252" t="s">
        <v>817</v>
      </c>
      <c r="C523" s="258" t="s">
        <v>176</v>
      </c>
      <c r="D523" s="253" t="s">
        <v>116</v>
      </c>
      <c r="E523" s="263">
        <v>275000</v>
      </c>
      <c r="F523" s="254">
        <v>474.42749540236633</v>
      </c>
      <c r="G523" s="264">
        <v>579.64599999999996</v>
      </c>
      <c r="H523" s="256" t="s">
        <v>192</v>
      </c>
      <c r="I523" s="256" t="s">
        <v>871</v>
      </c>
      <c r="J523" s="256" t="s">
        <v>97</v>
      </c>
      <c r="K523" s="260" t="s">
        <v>201</v>
      </c>
      <c r="L523" s="256" t="s">
        <v>154</v>
      </c>
      <c r="M523" s="252"/>
      <c r="N523" s="252"/>
      <c r="O523" s="252"/>
    </row>
    <row r="524" spans="1:15" hidden="1">
      <c r="A524" s="262">
        <v>45741</v>
      </c>
      <c r="B524" s="252" t="s">
        <v>3882</v>
      </c>
      <c r="C524" s="258" t="s">
        <v>173</v>
      </c>
      <c r="D524" s="253" t="s">
        <v>442</v>
      </c>
      <c r="E524" s="263">
        <v>15000</v>
      </c>
      <c r="F524" s="254">
        <v>25.877863385583616</v>
      </c>
      <c r="G524" s="255">
        <v>579.64599999999996</v>
      </c>
      <c r="H524" s="256" t="s">
        <v>174</v>
      </c>
      <c r="I524" s="256" t="s">
        <v>1008</v>
      </c>
      <c r="J524" s="256" t="s">
        <v>97</v>
      </c>
      <c r="K524" s="256" t="s">
        <v>1133</v>
      </c>
      <c r="L524" s="256" t="s">
        <v>154</v>
      </c>
      <c r="M524" s="252"/>
      <c r="N524" s="252"/>
      <c r="O524" s="252"/>
    </row>
    <row r="525" spans="1:15" hidden="1">
      <c r="A525" s="262">
        <v>45741</v>
      </c>
      <c r="B525" s="252" t="s">
        <v>3867</v>
      </c>
      <c r="C525" s="258" t="s">
        <v>176</v>
      </c>
      <c r="D525" s="253" t="s">
        <v>442</v>
      </c>
      <c r="E525" s="263">
        <v>15000</v>
      </c>
      <c r="F525" s="254">
        <v>25.877863385583616</v>
      </c>
      <c r="G525" s="255">
        <v>579.64599999999996</v>
      </c>
      <c r="H525" s="256" t="s">
        <v>174</v>
      </c>
      <c r="I525" s="256" t="s">
        <v>1009</v>
      </c>
      <c r="J525" s="256" t="s">
        <v>97</v>
      </c>
      <c r="K525" s="256" t="s">
        <v>1133</v>
      </c>
      <c r="L525" s="256" t="s">
        <v>154</v>
      </c>
      <c r="M525" s="252"/>
      <c r="N525" s="252"/>
      <c r="O525" s="252"/>
    </row>
    <row r="526" spans="1:15" hidden="1">
      <c r="A526" s="262">
        <v>45741</v>
      </c>
      <c r="B526" s="252" t="s">
        <v>2094</v>
      </c>
      <c r="C526" s="252" t="s">
        <v>307</v>
      </c>
      <c r="D526" s="253" t="s">
        <v>442</v>
      </c>
      <c r="E526" s="263">
        <v>10000</v>
      </c>
      <c r="F526" s="254">
        <v>17.251908923722411</v>
      </c>
      <c r="G526" s="255">
        <v>579.64599999999996</v>
      </c>
      <c r="H526" s="256" t="s">
        <v>322</v>
      </c>
      <c r="I526" s="256" t="s">
        <v>1040</v>
      </c>
      <c r="J526" s="256" t="s">
        <v>97</v>
      </c>
      <c r="K526" s="256" t="s">
        <v>1133</v>
      </c>
      <c r="L526" s="256" t="s">
        <v>154</v>
      </c>
      <c r="M526" s="252"/>
      <c r="N526" s="252"/>
      <c r="O526" s="252"/>
    </row>
    <row r="527" spans="1:15" hidden="1">
      <c r="A527" s="262">
        <v>45741</v>
      </c>
      <c r="B527" s="252" t="s">
        <v>812</v>
      </c>
      <c r="C527" s="259" t="s">
        <v>2087</v>
      </c>
      <c r="D527" s="252" t="s">
        <v>117</v>
      </c>
      <c r="E527" s="263">
        <v>11820</v>
      </c>
      <c r="F527" s="254">
        <v>20.391756347839891</v>
      </c>
      <c r="G527" s="255">
        <v>579.64599999999996</v>
      </c>
      <c r="H527" s="256" t="s">
        <v>322</v>
      </c>
      <c r="I527" s="256" t="s">
        <v>872</v>
      </c>
      <c r="J527" s="256" t="s">
        <v>97</v>
      </c>
      <c r="K527" s="256" t="s">
        <v>1133</v>
      </c>
      <c r="L527" s="256" t="s">
        <v>154</v>
      </c>
      <c r="M527" s="252"/>
      <c r="N527" s="252"/>
      <c r="O527" s="252"/>
    </row>
    <row r="528" spans="1:15" hidden="1">
      <c r="A528" s="262">
        <v>45742</v>
      </c>
      <c r="B528" s="252" t="s">
        <v>1070</v>
      </c>
      <c r="C528" s="258" t="s">
        <v>173</v>
      </c>
      <c r="D528" s="253" t="s">
        <v>116</v>
      </c>
      <c r="E528" s="263">
        <v>10000</v>
      </c>
      <c r="F528" s="254">
        <v>17.251908923722411</v>
      </c>
      <c r="G528" s="255">
        <v>579.64599999999996</v>
      </c>
      <c r="H528" s="256" t="s">
        <v>189</v>
      </c>
      <c r="I528" s="256" t="s">
        <v>1071</v>
      </c>
      <c r="J528" s="256" t="s">
        <v>97</v>
      </c>
      <c r="K528" s="256" t="s">
        <v>1133</v>
      </c>
      <c r="L528" s="256" t="s">
        <v>154</v>
      </c>
      <c r="M528" s="252"/>
      <c r="N528" s="252"/>
      <c r="O528" s="252"/>
    </row>
    <row r="529" spans="1:15" hidden="1">
      <c r="A529" s="262">
        <v>45741</v>
      </c>
      <c r="B529" s="252" t="s">
        <v>1072</v>
      </c>
      <c r="C529" s="252" t="s">
        <v>312</v>
      </c>
      <c r="D529" s="253" t="s">
        <v>116</v>
      </c>
      <c r="E529" s="263">
        <v>14000</v>
      </c>
      <c r="F529" s="254">
        <v>24.152672493211377</v>
      </c>
      <c r="G529" s="255">
        <v>579.64599999999996</v>
      </c>
      <c r="H529" s="256" t="s">
        <v>189</v>
      </c>
      <c r="I529" s="256" t="s">
        <v>1073</v>
      </c>
      <c r="J529" s="256" t="s">
        <v>97</v>
      </c>
      <c r="K529" s="256" t="s">
        <v>1133</v>
      </c>
      <c r="L529" s="256" t="s">
        <v>154</v>
      </c>
      <c r="M529" s="252"/>
      <c r="N529" s="252"/>
      <c r="O529" s="252"/>
    </row>
    <row r="530" spans="1:15" hidden="1">
      <c r="A530" s="262">
        <v>45740</v>
      </c>
      <c r="B530" s="252" t="s">
        <v>1074</v>
      </c>
      <c r="C530" s="258" t="s">
        <v>176</v>
      </c>
      <c r="D530" s="253" t="s">
        <v>116</v>
      </c>
      <c r="E530" s="263">
        <v>135000</v>
      </c>
      <c r="F530" s="254">
        <v>232.90077047025255</v>
      </c>
      <c r="G530" s="264">
        <v>579.64599999999996</v>
      </c>
      <c r="H530" s="256" t="s">
        <v>189</v>
      </c>
      <c r="I530" s="256" t="s">
        <v>1075</v>
      </c>
      <c r="J530" s="256" t="s">
        <v>97</v>
      </c>
      <c r="K530" s="260" t="s">
        <v>201</v>
      </c>
      <c r="L530" s="256" t="s">
        <v>154</v>
      </c>
      <c r="M530" s="252"/>
      <c r="N530" s="252"/>
      <c r="O530" s="252"/>
    </row>
    <row r="531" spans="1:15" hidden="1">
      <c r="A531" s="262">
        <v>45741</v>
      </c>
      <c r="B531" s="252" t="s">
        <v>818</v>
      </c>
      <c r="C531" s="258" t="s">
        <v>1164</v>
      </c>
      <c r="D531" s="252" t="s">
        <v>117</v>
      </c>
      <c r="E531" s="263">
        <v>25000</v>
      </c>
      <c r="F531" s="254">
        <v>43.129772309306027</v>
      </c>
      <c r="G531" s="264">
        <v>579.64599999999996</v>
      </c>
      <c r="H531" s="256" t="s">
        <v>192</v>
      </c>
      <c r="I531" s="256" t="s">
        <v>873</v>
      </c>
      <c r="J531" s="256" t="s">
        <v>97</v>
      </c>
      <c r="K531" s="260" t="s">
        <v>201</v>
      </c>
      <c r="L531" s="256" t="s">
        <v>154</v>
      </c>
      <c r="M531" s="252"/>
      <c r="N531" s="252"/>
      <c r="O531" s="252"/>
    </row>
    <row r="532" spans="1:15" hidden="1">
      <c r="A532" s="262">
        <v>45741</v>
      </c>
      <c r="B532" s="252" t="s">
        <v>919</v>
      </c>
      <c r="C532" s="252" t="s">
        <v>126</v>
      </c>
      <c r="D532" s="252" t="s">
        <v>118</v>
      </c>
      <c r="E532" s="263">
        <v>1311000</v>
      </c>
      <c r="F532" s="254">
        <v>2261.725259900008</v>
      </c>
      <c r="G532" s="264">
        <v>579.64599999999996</v>
      </c>
      <c r="H532" s="256" t="s">
        <v>147</v>
      </c>
      <c r="I532" s="256" t="s">
        <v>958</v>
      </c>
      <c r="J532" s="256" t="s">
        <v>97</v>
      </c>
      <c r="K532" s="260" t="s">
        <v>201</v>
      </c>
      <c r="L532" s="256" t="s">
        <v>154</v>
      </c>
      <c r="M532" s="252"/>
      <c r="N532" s="252"/>
      <c r="O532" s="252"/>
    </row>
    <row r="533" spans="1:15" hidden="1">
      <c r="A533" s="262">
        <v>45741</v>
      </c>
      <c r="B533" s="252" t="s">
        <v>920</v>
      </c>
      <c r="C533" s="252" t="s">
        <v>126</v>
      </c>
      <c r="D533" s="252" t="s">
        <v>117</v>
      </c>
      <c r="E533" s="263">
        <v>230000</v>
      </c>
      <c r="F533" s="254">
        <v>396.79390524561546</v>
      </c>
      <c r="G533" s="264">
        <v>579.64599999999996</v>
      </c>
      <c r="H533" s="256" t="s">
        <v>147</v>
      </c>
      <c r="I533" s="256" t="s">
        <v>959</v>
      </c>
      <c r="J533" s="256" t="s">
        <v>97</v>
      </c>
      <c r="K533" s="260" t="s">
        <v>201</v>
      </c>
      <c r="L533" s="256" t="s">
        <v>154</v>
      </c>
      <c r="M533" s="252"/>
      <c r="N533" s="252"/>
      <c r="O533" s="252"/>
    </row>
    <row r="534" spans="1:15" hidden="1">
      <c r="A534" s="262">
        <v>45741</v>
      </c>
      <c r="B534" s="252" t="s">
        <v>921</v>
      </c>
      <c r="C534" s="252" t="s">
        <v>126</v>
      </c>
      <c r="D534" s="253" t="s">
        <v>116</v>
      </c>
      <c r="E534" s="263">
        <v>200000</v>
      </c>
      <c r="F534" s="254">
        <v>345.03817847444822</v>
      </c>
      <c r="G534" s="264">
        <v>579.64599999999996</v>
      </c>
      <c r="H534" s="256" t="s">
        <v>147</v>
      </c>
      <c r="I534" s="256" t="s">
        <v>960</v>
      </c>
      <c r="J534" s="256" t="s">
        <v>97</v>
      </c>
      <c r="K534" s="260" t="s">
        <v>201</v>
      </c>
      <c r="L534" s="256" t="s">
        <v>154</v>
      </c>
      <c r="M534" s="252"/>
      <c r="N534" s="252"/>
      <c r="O534" s="252"/>
    </row>
    <row r="535" spans="1:15" hidden="1">
      <c r="A535" s="262">
        <v>45741</v>
      </c>
      <c r="B535" s="252" t="s">
        <v>922</v>
      </c>
      <c r="C535" s="252" t="s">
        <v>126</v>
      </c>
      <c r="D535" s="253" t="s">
        <v>116</v>
      </c>
      <c r="E535" s="263">
        <v>200000</v>
      </c>
      <c r="F535" s="254">
        <v>345.03817847444822</v>
      </c>
      <c r="G535" s="264">
        <v>579.64599999999996</v>
      </c>
      <c r="H535" s="256" t="s">
        <v>147</v>
      </c>
      <c r="I535" s="256" t="s">
        <v>961</v>
      </c>
      <c r="J535" s="256" t="s">
        <v>97</v>
      </c>
      <c r="K535" s="260" t="s">
        <v>201</v>
      </c>
      <c r="L535" s="256" t="s">
        <v>154</v>
      </c>
      <c r="M535" s="252"/>
      <c r="N535" s="252"/>
      <c r="O535" s="252"/>
    </row>
    <row r="536" spans="1:15" hidden="1">
      <c r="A536" s="262">
        <v>45741</v>
      </c>
      <c r="B536" s="252" t="s">
        <v>923</v>
      </c>
      <c r="C536" s="252" t="s">
        <v>126</v>
      </c>
      <c r="D536" s="253" t="s">
        <v>116</v>
      </c>
      <c r="E536" s="263">
        <v>200000</v>
      </c>
      <c r="F536" s="254">
        <v>345.03817847444822</v>
      </c>
      <c r="G536" s="264">
        <v>579.64599999999996</v>
      </c>
      <c r="H536" s="256" t="s">
        <v>147</v>
      </c>
      <c r="I536" s="256" t="s">
        <v>962</v>
      </c>
      <c r="J536" s="256" t="s">
        <v>97</v>
      </c>
      <c r="K536" s="260" t="s">
        <v>201</v>
      </c>
      <c r="L536" s="256" t="s">
        <v>154</v>
      </c>
      <c r="M536" s="252"/>
      <c r="N536" s="252"/>
      <c r="O536" s="252"/>
    </row>
    <row r="537" spans="1:15" hidden="1">
      <c r="A537" s="262">
        <v>45741</v>
      </c>
      <c r="B537" s="252" t="s">
        <v>924</v>
      </c>
      <c r="C537" s="252" t="s">
        <v>126</v>
      </c>
      <c r="D537" s="253" t="s">
        <v>116</v>
      </c>
      <c r="E537" s="263">
        <v>551482</v>
      </c>
      <c r="F537" s="254">
        <v>951.41172370722825</v>
      </c>
      <c r="G537" s="264">
        <v>579.64599999999996</v>
      </c>
      <c r="H537" s="256" t="s">
        <v>147</v>
      </c>
      <c r="I537" s="256" t="s">
        <v>963</v>
      </c>
      <c r="J537" s="256" t="s">
        <v>97</v>
      </c>
      <c r="K537" s="260" t="s">
        <v>201</v>
      </c>
      <c r="L537" s="256" t="s">
        <v>154</v>
      </c>
      <c r="M537" s="252"/>
      <c r="N537" s="252"/>
      <c r="O537" s="252"/>
    </row>
    <row r="538" spans="1:15" hidden="1">
      <c r="A538" s="262">
        <v>45741</v>
      </c>
      <c r="B538" s="252" t="s">
        <v>925</v>
      </c>
      <c r="C538" s="252" t="s">
        <v>126</v>
      </c>
      <c r="D538" s="252" t="s">
        <v>119</v>
      </c>
      <c r="E538" s="263">
        <v>238140</v>
      </c>
      <c r="F538" s="254">
        <v>410.83695910952548</v>
      </c>
      <c r="G538" s="264">
        <v>579.64599999999996</v>
      </c>
      <c r="H538" s="256" t="s">
        <v>147</v>
      </c>
      <c r="I538" s="256" t="s">
        <v>964</v>
      </c>
      <c r="J538" s="256" t="s">
        <v>97</v>
      </c>
      <c r="K538" s="260" t="s">
        <v>201</v>
      </c>
      <c r="L538" s="256" t="s">
        <v>154</v>
      </c>
      <c r="M538" s="252"/>
      <c r="N538" s="252"/>
      <c r="O538" s="252"/>
    </row>
    <row r="539" spans="1:15" hidden="1">
      <c r="A539" s="262">
        <v>45741</v>
      </c>
      <c r="B539" s="252" t="s">
        <v>926</v>
      </c>
      <c r="C539" s="252" t="s">
        <v>126</v>
      </c>
      <c r="D539" s="253" t="s">
        <v>116</v>
      </c>
      <c r="E539" s="263">
        <v>193548</v>
      </c>
      <c r="F539" s="254">
        <v>333.9072468368625</v>
      </c>
      <c r="G539" s="264">
        <v>579.64599999999996</v>
      </c>
      <c r="H539" s="256" t="s">
        <v>147</v>
      </c>
      <c r="I539" s="256" t="s">
        <v>1126</v>
      </c>
      <c r="J539" s="256" t="s">
        <v>97</v>
      </c>
      <c r="K539" s="260" t="s">
        <v>201</v>
      </c>
      <c r="L539" s="256" t="s">
        <v>154</v>
      </c>
      <c r="M539" s="252"/>
      <c r="N539" s="252"/>
      <c r="O539" s="252"/>
    </row>
    <row r="540" spans="1:15" hidden="1">
      <c r="A540" s="262">
        <v>45742</v>
      </c>
      <c r="B540" s="252" t="s">
        <v>617</v>
      </c>
      <c r="C540" s="252" t="s">
        <v>303</v>
      </c>
      <c r="D540" s="252" t="s">
        <v>117</v>
      </c>
      <c r="E540" s="263">
        <v>20000</v>
      </c>
      <c r="F540" s="254">
        <v>34.503817847444822</v>
      </c>
      <c r="G540" s="264">
        <v>579.64599999999996</v>
      </c>
      <c r="H540" s="256" t="s">
        <v>583</v>
      </c>
      <c r="I540" s="256" t="s">
        <v>874</v>
      </c>
      <c r="J540" s="256" t="s">
        <v>97</v>
      </c>
      <c r="K540" s="260" t="s">
        <v>201</v>
      </c>
      <c r="L540" s="256" t="s">
        <v>154</v>
      </c>
      <c r="M540" s="252"/>
      <c r="N540" s="252"/>
      <c r="O540" s="252"/>
    </row>
    <row r="541" spans="1:15" hidden="1">
      <c r="A541" s="262">
        <v>45742</v>
      </c>
      <c r="B541" s="252" t="s">
        <v>3700</v>
      </c>
      <c r="C541" s="258" t="s">
        <v>176</v>
      </c>
      <c r="D541" s="253" t="s">
        <v>442</v>
      </c>
      <c r="E541" s="263">
        <v>75000</v>
      </c>
      <c r="F541" s="254">
        <v>129.38931692791809</v>
      </c>
      <c r="G541" s="264">
        <v>579.64599999999996</v>
      </c>
      <c r="H541" s="256" t="s">
        <v>316</v>
      </c>
      <c r="I541" s="256" t="s">
        <v>1026</v>
      </c>
      <c r="J541" s="256" t="s">
        <v>97</v>
      </c>
      <c r="K541" s="260" t="s">
        <v>201</v>
      </c>
      <c r="L541" s="256" t="s">
        <v>154</v>
      </c>
      <c r="M541" s="252"/>
      <c r="N541" s="252"/>
      <c r="O541" s="252"/>
    </row>
    <row r="542" spans="1:15" hidden="1">
      <c r="A542" s="262">
        <v>45742</v>
      </c>
      <c r="B542" s="252" t="s">
        <v>3694</v>
      </c>
      <c r="C542" s="258" t="s">
        <v>173</v>
      </c>
      <c r="D542" s="253" t="s">
        <v>442</v>
      </c>
      <c r="E542" s="263">
        <v>3000</v>
      </c>
      <c r="F542" s="254">
        <v>5.1755726771167234</v>
      </c>
      <c r="G542" s="255">
        <v>579.64599999999996</v>
      </c>
      <c r="H542" s="256" t="s">
        <v>316</v>
      </c>
      <c r="I542" s="256" t="s">
        <v>1027</v>
      </c>
      <c r="J542" s="256" t="s">
        <v>97</v>
      </c>
      <c r="K542" s="256" t="s">
        <v>1133</v>
      </c>
      <c r="L542" s="256" t="s">
        <v>154</v>
      </c>
      <c r="M542" s="252"/>
      <c r="N542" s="252"/>
      <c r="O542" s="252"/>
    </row>
    <row r="543" spans="1:15" hidden="1">
      <c r="A543" s="262">
        <v>45742</v>
      </c>
      <c r="B543" s="252" t="s">
        <v>1103</v>
      </c>
      <c r="C543" s="258" t="s">
        <v>176</v>
      </c>
      <c r="D543" s="252" t="s">
        <v>2088</v>
      </c>
      <c r="E543" s="263">
        <v>135000</v>
      </c>
      <c r="F543" s="254">
        <v>232.90077047025255</v>
      </c>
      <c r="G543" s="255">
        <v>579.64599999999996</v>
      </c>
      <c r="H543" s="256" t="s">
        <v>212</v>
      </c>
      <c r="I543" s="256" t="s">
        <v>1104</v>
      </c>
      <c r="J543" s="256" t="s">
        <v>97</v>
      </c>
      <c r="K543" s="256" t="s">
        <v>1133</v>
      </c>
      <c r="L543" s="256" t="s">
        <v>154</v>
      </c>
      <c r="M543" s="252"/>
      <c r="N543" s="252"/>
      <c r="O543" s="252"/>
    </row>
    <row r="544" spans="1:15" hidden="1">
      <c r="A544" s="262">
        <v>45742</v>
      </c>
      <c r="B544" s="252" t="s">
        <v>1105</v>
      </c>
      <c r="C544" s="258" t="s">
        <v>173</v>
      </c>
      <c r="D544" s="252" t="s">
        <v>2088</v>
      </c>
      <c r="E544" s="263">
        <v>10000</v>
      </c>
      <c r="F544" s="254">
        <v>17.251908923722411</v>
      </c>
      <c r="G544" s="255">
        <v>579.64599999999996</v>
      </c>
      <c r="H544" s="256" t="s">
        <v>212</v>
      </c>
      <c r="I544" s="256" t="s">
        <v>1106</v>
      </c>
      <c r="J544" s="256" t="s">
        <v>97</v>
      </c>
      <c r="K544" s="256" t="s">
        <v>1133</v>
      </c>
      <c r="L544" s="256" t="s">
        <v>154</v>
      </c>
      <c r="M544" s="252"/>
      <c r="N544" s="252"/>
      <c r="O544" s="252"/>
    </row>
    <row r="545" spans="1:15" hidden="1">
      <c r="A545" s="262">
        <v>45742</v>
      </c>
      <c r="B545" s="252" t="s">
        <v>819</v>
      </c>
      <c r="C545" s="258" t="s">
        <v>2089</v>
      </c>
      <c r="D545" s="252" t="s">
        <v>119</v>
      </c>
      <c r="E545" s="263">
        <v>200000</v>
      </c>
      <c r="F545" s="254">
        <v>345.03817847444822</v>
      </c>
      <c r="G545" s="264">
        <v>579.64599999999996</v>
      </c>
      <c r="H545" s="256" t="s">
        <v>212</v>
      </c>
      <c r="I545" s="256" t="s">
        <v>893</v>
      </c>
      <c r="J545" s="256" t="s">
        <v>97</v>
      </c>
      <c r="K545" s="260" t="s">
        <v>201</v>
      </c>
      <c r="L545" s="256" t="s">
        <v>154</v>
      </c>
      <c r="M545" s="252"/>
      <c r="N545" s="252"/>
      <c r="O545" s="252"/>
    </row>
    <row r="546" spans="1:15" hidden="1">
      <c r="A546" s="262">
        <v>45742</v>
      </c>
      <c r="B546" s="252" t="s">
        <v>927</v>
      </c>
      <c r="C546" s="252" t="s">
        <v>127</v>
      </c>
      <c r="D546" s="252" t="s">
        <v>117</v>
      </c>
      <c r="E546" s="263">
        <v>52635</v>
      </c>
      <c r="F546" s="254">
        <v>90.805422620012905</v>
      </c>
      <c r="G546" s="255">
        <v>579.64599999999996</v>
      </c>
      <c r="H546" s="256" t="s">
        <v>147</v>
      </c>
      <c r="I546" s="256" t="s">
        <v>1127</v>
      </c>
      <c r="J546" s="256" t="s">
        <v>97</v>
      </c>
      <c r="K546" s="256" t="s">
        <v>1133</v>
      </c>
      <c r="L546" s="256" t="s">
        <v>154</v>
      </c>
      <c r="M546" s="252"/>
      <c r="N546" s="252"/>
      <c r="O546" s="252"/>
    </row>
    <row r="547" spans="1:15" hidden="1">
      <c r="A547" s="262">
        <v>45743</v>
      </c>
      <c r="B547" s="252" t="s">
        <v>3867</v>
      </c>
      <c r="C547" s="258" t="s">
        <v>176</v>
      </c>
      <c r="D547" s="253" t="s">
        <v>442</v>
      </c>
      <c r="E547" s="263">
        <v>30000</v>
      </c>
      <c r="F547" s="254">
        <v>51.755726771167232</v>
      </c>
      <c r="G547" s="255">
        <v>579.64599999999996</v>
      </c>
      <c r="H547" s="256" t="s">
        <v>174</v>
      </c>
      <c r="I547" s="256" t="s">
        <v>1010</v>
      </c>
      <c r="J547" s="256" t="s">
        <v>97</v>
      </c>
      <c r="K547" s="256" t="s">
        <v>1133</v>
      </c>
      <c r="L547" s="256" t="s">
        <v>154</v>
      </c>
      <c r="M547" s="252"/>
      <c r="N547" s="252"/>
      <c r="O547" s="252"/>
    </row>
    <row r="548" spans="1:15" hidden="1">
      <c r="A548" s="262">
        <v>45743</v>
      </c>
      <c r="B548" s="252" t="s">
        <v>3883</v>
      </c>
      <c r="C548" s="258" t="s">
        <v>173</v>
      </c>
      <c r="D548" s="253" t="s">
        <v>442</v>
      </c>
      <c r="E548" s="263">
        <v>15000</v>
      </c>
      <c r="F548" s="254">
        <v>25.877863385583616</v>
      </c>
      <c r="G548" s="255">
        <v>579.64599999999996</v>
      </c>
      <c r="H548" s="256" t="s">
        <v>174</v>
      </c>
      <c r="I548" s="256" t="s">
        <v>1011</v>
      </c>
      <c r="J548" s="256" t="s">
        <v>97</v>
      </c>
      <c r="K548" s="256" t="s">
        <v>1133</v>
      </c>
      <c r="L548" s="256" t="s">
        <v>154</v>
      </c>
      <c r="M548" s="252"/>
      <c r="N548" s="252"/>
      <c r="O548" s="252"/>
    </row>
    <row r="549" spans="1:15" hidden="1">
      <c r="A549" s="262">
        <v>45743</v>
      </c>
      <c r="B549" s="252" t="s">
        <v>1012</v>
      </c>
      <c r="C549" s="258" t="s">
        <v>365</v>
      </c>
      <c r="D549" s="253" t="s">
        <v>442</v>
      </c>
      <c r="E549" s="263">
        <v>18000</v>
      </c>
      <c r="F549" s="254">
        <v>31.053436062700339</v>
      </c>
      <c r="G549" s="255">
        <v>579.64599999999996</v>
      </c>
      <c r="H549" s="256" t="s">
        <v>174</v>
      </c>
      <c r="I549" s="256" t="s">
        <v>1013</v>
      </c>
      <c r="J549" s="256" t="s">
        <v>97</v>
      </c>
      <c r="K549" s="256" t="s">
        <v>1133</v>
      </c>
      <c r="L549" s="256" t="s">
        <v>154</v>
      </c>
      <c r="M549" s="252"/>
      <c r="N549" s="252"/>
      <c r="O549" s="252"/>
    </row>
    <row r="550" spans="1:15" hidden="1">
      <c r="A550" s="262">
        <v>45743</v>
      </c>
      <c r="B550" s="252" t="s">
        <v>1050</v>
      </c>
      <c r="C550" s="258" t="s">
        <v>173</v>
      </c>
      <c r="D550" s="253" t="s">
        <v>116</v>
      </c>
      <c r="E550" s="263">
        <v>8000</v>
      </c>
      <c r="F550" s="254">
        <v>13.80152713897793</v>
      </c>
      <c r="G550" s="255">
        <v>579.64599999999996</v>
      </c>
      <c r="H550" s="256" t="s">
        <v>186</v>
      </c>
      <c r="I550" s="256" t="s">
        <v>1051</v>
      </c>
      <c r="J550" s="256" t="s">
        <v>97</v>
      </c>
      <c r="K550" s="256" t="s">
        <v>1133</v>
      </c>
      <c r="L550" s="256" t="s">
        <v>154</v>
      </c>
      <c r="M550" s="252"/>
      <c r="N550" s="252"/>
      <c r="O550" s="252"/>
    </row>
    <row r="551" spans="1:15" hidden="1">
      <c r="A551" s="262">
        <v>45743</v>
      </c>
      <c r="B551" s="252" t="s">
        <v>1093</v>
      </c>
      <c r="C551" s="258" t="s">
        <v>1164</v>
      </c>
      <c r="D551" s="252" t="s">
        <v>2088</v>
      </c>
      <c r="E551" s="263">
        <v>28400</v>
      </c>
      <c r="F551" s="254">
        <v>48.995421343371646</v>
      </c>
      <c r="G551" s="255">
        <v>579.64599999999996</v>
      </c>
      <c r="H551" s="256" t="s">
        <v>196</v>
      </c>
      <c r="I551" s="256" t="s">
        <v>1094</v>
      </c>
      <c r="J551" s="256" t="s">
        <v>97</v>
      </c>
      <c r="K551" s="256" t="s">
        <v>1133</v>
      </c>
      <c r="L551" s="256" t="s">
        <v>154</v>
      </c>
      <c r="M551" s="252"/>
      <c r="N551" s="252"/>
      <c r="O551" s="252"/>
    </row>
    <row r="552" spans="1:15" hidden="1">
      <c r="A552" s="262">
        <v>45744</v>
      </c>
      <c r="B552" s="252" t="s">
        <v>820</v>
      </c>
      <c r="C552" s="252" t="s">
        <v>303</v>
      </c>
      <c r="D552" s="252" t="s">
        <v>117</v>
      </c>
      <c r="E552" s="263">
        <v>8000</v>
      </c>
      <c r="F552" s="254">
        <v>13.80152713897793</v>
      </c>
      <c r="G552" s="255">
        <v>579.64599999999996</v>
      </c>
      <c r="H552" s="256" t="s">
        <v>583</v>
      </c>
      <c r="I552" s="256" t="s">
        <v>875</v>
      </c>
      <c r="J552" s="256" t="s">
        <v>97</v>
      </c>
      <c r="K552" s="256" t="s">
        <v>1133</v>
      </c>
      <c r="L552" s="256" t="s">
        <v>154</v>
      </c>
      <c r="M552" s="252"/>
      <c r="N552" s="252"/>
      <c r="O552" s="252"/>
    </row>
    <row r="553" spans="1:15" hidden="1">
      <c r="A553" s="262">
        <v>45744</v>
      </c>
      <c r="B553" s="252" t="s">
        <v>822</v>
      </c>
      <c r="C553" s="252" t="s">
        <v>303</v>
      </c>
      <c r="D553" s="252" t="s">
        <v>117</v>
      </c>
      <c r="E553" s="263">
        <v>75625</v>
      </c>
      <c r="F553" s="254">
        <v>130.46756123565072</v>
      </c>
      <c r="G553" s="255">
        <v>579.64599999999996</v>
      </c>
      <c r="H553" s="256" t="s">
        <v>583</v>
      </c>
      <c r="I553" s="256" t="s">
        <v>877</v>
      </c>
      <c r="J553" s="256" t="s">
        <v>97</v>
      </c>
      <c r="K553" s="256" t="s">
        <v>1133</v>
      </c>
      <c r="L553" s="256" t="s">
        <v>154</v>
      </c>
      <c r="M553" s="252"/>
      <c r="N553" s="252"/>
      <c r="O553" s="252"/>
    </row>
    <row r="554" spans="1:15" hidden="1">
      <c r="A554" s="262">
        <v>45744</v>
      </c>
      <c r="B554" s="252" t="s">
        <v>3867</v>
      </c>
      <c r="C554" s="258" t="s">
        <v>176</v>
      </c>
      <c r="D554" s="253" t="s">
        <v>442</v>
      </c>
      <c r="E554" s="263">
        <v>15000</v>
      </c>
      <c r="F554" s="254">
        <v>25.877863385583616</v>
      </c>
      <c r="G554" s="255">
        <v>579.64599999999996</v>
      </c>
      <c r="H554" s="256" t="s">
        <v>174</v>
      </c>
      <c r="I554" s="256" t="s">
        <v>1014</v>
      </c>
      <c r="J554" s="256" t="s">
        <v>97</v>
      </c>
      <c r="K554" s="256" t="s">
        <v>1133</v>
      </c>
      <c r="L554" s="256" t="s">
        <v>154</v>
      </c>
      <c r="M554" s="252"/>
      <c r="N554" s="252"/>
      <c r="O554" s="252"/>
    </row>
    <row r="555" spans="1:15" hidden="1">
      <c r="A555" s="262">
        <v>45744</v>
      </c>
      <c r="B555" s="252" t="s">
        <v>3882</v>
      </c>
      <c r="C555" s="258" t="s">
        <v>173</v>
      </c>
      <c r="D555" s="253" t="s">
        <v>442</v>
      </c>
      <c r="E555" s="263">
        <v>7000</v>
      </c>
      <c r="F555" s="254">
        <v>12.076336246605688</v>
      </c>
      <c r="G555" s="264">
        <v>579.64599999999996</v>
      </c>
      <c r="H555" s="256" t="s">
        <v>174</v>
      </c>
      <c r="I555" s="256" t="s">
        <v>1015</v>
      </c>
      <c r="J555" s="256" t="s">
        <v>97</v>
      </c>
      <c r="K555" s="260" t="s">
        <v>201</v>
      </c>
      <c r="L555" s="256" t="s">
        <v>154</v>
      </c>
      <c r="M555" s="252"/>
      <c r="N555" s="252"/>
      <c r="O555" s="252"/>
    </row>
    <row r="556" spans="1:15" hidden="1">
      <c r="A556" s="262">
        <v>45744</v>
      </c>
      <c r="B556" s="252" t="s">
        <v>3691</v>
      </c>
      <c r="C556" s="258" t="s">
        <v>176</v>
      </c>
      <c r="D556" s="253" t="s">
        <v>442</v>
      </c>
      <c r="E556" s="263">
        <v>30000</v>
      </c>
      <c r="F556" s="254">
        <v>51.755726771167232</v>
      </c>
      <c r="G556" s="264">
        <v>579.64599999999996</v>
      </c>
      <c r="H556" s="256" t="s">
        <v>316</v>
      </c>
      <c r="I556" s="256" t="s">
        <v>1028</v>
      </c>
      <c r="J556" s="256" t="s">
        <v>97</v>
      </c>
      <c r="K556" s="260" t="s">
        <v>201</v>
      </c>
      <c r="L556" s="256" t="s">
        <v>154</v>
      </c>
      <c r="M556" s="252"/>
      <c r="N556" s="252"/>
      <c r="O556" s="252"/>
    </row>
    <row r="557" spans="1:15" hidden="1">
      <c r="A557" s="262">
        <v>45744</v>
      </c>
      <c r="B557" s="252" t="s">
        <v>3689</v>
      </c>
      <c r="C557" s="258" t="s">
        <v>173</v>
      </c>
      <c r="D557" s="253" t="s">
        <v>442</v>
      </c>
      <c r="E557" s="263">
        <v>7000</v>
      </c>
      <c r="F557" s="254">
        <v>12.076336246605688</v>
      </c>
      <c r="G557" s="264">
        <v>579.64599999999996</v>
      </c>
      <c r="H557" s="256" t="s">
        <v>316</v>
      </c>
      <c r="I557" s="256" t="s">
        <v>1029</v>
      </c>
      <c r="J557" s="256" t="s">
        <v>97</v>
      </c>
      <c r="K557" s="260" t="s">
        <v>201</v>
      </c>
      <c r="L557" s="256" t="s">
        <v>154</v>
      </c>
      <c r="M557" s="252"/>
      <c r="N557" s="252"/>
      <c r="O557" s="252"/>
    </row>
    <row r="558" spans="1:15" hidden="1">
      <c r="A558" s="262">
        <v>45744</v>
      </c>
      <c r="B558" s="252" t="s">
        <v>1052</v>
      </c>
      <c r="C558" s="252" t="s">
        <v>312</v>
      </c>
      <c r="D558" s="253" t="s">
        <v>116</v>
      </c>
      <c r="E558" s="263">
        <v>41500</v>
      </c>
      <c r="F558" s="254">
        <v>71.595422033448003</v>
      </c>
      <c r="G558" s="264">
        <v>579.64599999999996</v>
      </c>
      <c r="H558" s="256" t="s">
        <v>186</v>
      </c>
      <c r="I558" s="256" t="s">
        <v>1053</v>
      </c>
      <c r="J558" s="256" t="s">
        <v>97</v>
      </c>
      <c r="K558" s="260" t="s">
        <v>201</v>
      </c>
      <c r="L558" s="256" t="s">
        <v>154</v>
      </c>
      <c r="M558" s="252"/>
      <c r="N558" s="252"/>
      <c r="O558" s="252"/>
    </row>
    <row r="559" spans="1:15" hidden="1">
      <c r="A559" s="262">
        <v>45744</v>
      </c>
      <c r="B559" s="252" t="s">
        <v>1076</v>
      </c>
      <c r="C559" s="258" t="s">
        <v>173</v>
      </c>
      <c r="D559" s="253" t="s">
        <v>116</v>
      </c>
      <c r="E559" s="263">
        <v>35500</v>
      </c>
      <c r="F559" s="254">
        <v>61.244276679214558</v>
      </c>
      <c r="G559" s="264">
        <v>579.64599999999996</v>
      </c>
      <c r="H559" s="256" t="s">
        <v>189</v>
      </c>
      <c r="I559" s="256" t="s">
        <v>1077</v>
      </c>
      <c r="J559" s="256" t="s">
        <v>97</v>
      </c>
      <c r="K559" s="260" t="s">
        <v>201</v>
      </c>
      <c r="L559" s="256" t="s">
        <v>154</v>
      </c>
      <c r="M559" s="252"/>
      <c r="N559" s="252"/>
      <c r="O559" s="252"/>
    </row>
    <row r="560" spans="1:15" hidden="1">
      <c r="A560" s="262">
        <v>45744</v>
      </c>
      <c r="B560" s="252" t="s">
        <v>821</v>
      </c>
      <c r="C560" s="259" t="s">
        <v>2087</v>
      </c>
      <c r="D560" s="252" t="s">
        <v>117</v>
      </c>
      <c r="E560" s="263">
        <v>8825</v>
      </c>
      <c r="F560" s="254">
        <v>15.224809625185028</v>
      </c>
      <c r="G560" s="264">
        <v>579.64599999999996</v>
      </c>
      <c r="H560" s="256" t="s">
        <v>189</v>
      </c>
      <c r="I560" s="256" t="s">
        <v>876</v>
      </c>
      <c r="J560" s="256" t="s">
        <v>97</v>
      </c>
      <c r="K560" s="260" t="s">
        <v>201</v>
      </c>
      <c r="L560" s="256" t="s">
        <v>154</v>
      </c>
      <c r="M560" s="252"/>
      <c r="N560" s="252"/>
      <c r="O560" s="252"/>
    </row>
    <row r="561" spans="1:15" hidden="1">
      <c r="A561" s="262">
        <v>45744</v>
      </c>
      <c r="B561" s="252" t="s">
        <v>1095</v>
      </c>
      <c r="C561" s="252" t="s">
        <v>312</v>
      </c>
      <c r="D561" s="253" t="s">
        <v>116</v>
      </c>
      <c r="E561" s="263">
        <v>4000</v>
      </c>
      <c r="F561" s="254">
        <v>6.9007635694889649</v>
      </c>
      <c r="G561" s="264">
        <v>579.64599999999996</v>
      </c>
      <c r="H561" s="256" t="s">
        <v>196</v>
      </c>
      <c r="I561" s="256" t="s">
        <v>1096</v>
      </c>
      <c r="J561" s="256" t="s">
        <v>97</v>
      </c>
      <c r="K561" s="260" t="s">
        <v>201</v>
      </c>
      <c r="L561" s="256" t="s">
        <v>154</v>
      </c>
      <c r="M561" s="252"/>
      <c r="N561" s="252"/>
      <c r="O561" s="252"/>
    </row>
    <row r="562" spans="1:15" hidden="1">
      <c r="A562" s="262">
        <v>45744</v>
      </c>
      <c r="B562" s="252" t="s">
        <v>1158</v>
      </c>
      <c r="C562" s="258" t="s">
        <v>173</v>
      </c>
      <c r="D562" s="252" t="s">
        <v>119</v>
      </c>
      <c r="E562" s="263">
        <v>43650</v>
      </c>
      <c r="F562" s="254">
        <v>75.304582452048322</v>
      </c>
      <c r="G562" s="264">
        <v>579.64599999999996</v>
      </c>
      <c r="H562" s="256" t="s">
        <v>212</v>
      </c>
      <c r="I562" s="256" t="s">
        <v>1107</v>
      </c>
      <c r="J562" s="256" t="s">
        <v>97</v>
      </c>
      <c r="K562" s="260" t="s">
        <v>201</v>
      </c>
      <c r="L562" s="256" t="s">
        <v>154</v>
      </c>
      <c r="M562" s="252"/>
      <c r="N562" s="252"/>
      <c r="O562" s="252"/>
    </row>
    <row r="563" spans="1:15" hidden="1">
      <c r="A563" s="262">
        <v>45744</v>
      </c>
      <c r="B563" s="252" t="s">
        <v>819</v>
      </c>
      <c r="C563" s="258" t="s">
        <v>2089</v>
      </c>
      <c r="D563" s="252" t="s">
        <v>119</v>
      </c>
      <c r="E563" s="263">
        <v>154000</v>
      </c>
      <c r="F563" s="254">
        <v>265.67939742532513</v>
      </c>
      <c r="G563" s="264">
        <v>579.64599999999996</v>
      </c>
      <c r="H563" s="256" t="s">
        <v>212</v>
      </c>
      <c r="I563" s="256" t="s">
        <v>894</v>
      </c>
      <c r="J563" s="256" t="s">
        <v>97</v>
      </c>
      <c r="K563" s="260" t="s">
        <v>201</v>
      </c>
      <c r="L563" s="256" t="s">
        <v>154</v>
      </c>
      <c r="M563" s="252"/>
      <c r="N563" s="252"/>
      <c r="O563" s="252"/>
    </row>
    <row r="564" spans="1:15" hidden="1">
      <c r="A564" s="262">
        <v>45744</v>
      </c>
      <c r="B564" s="252" t="s">
        <v>928</v>
      </c>
      <c r="C564" s="252" t="s">
        <v>126</v>
      </c>
      <c r="D564" s="253" t="s">
        <v>442</v>
      </c>
      <c r="E564" s="263">
        <v>500000</v>
      </c>
      <c r="F564" s="254">
        <v>862.59544618612051</v>
      </c>
      <c r="G564" s="264">
        <v>579.64599999999996</v>
      </c>
      <c r="H564" s="256" t="s">
        <v>147</v>
      </c>
      <c r="I564" s="256" t="s">
        <v>1128</v>
      </c>
      <c r="J564" s="256" t="s">
        <v>97</v>
      </c>
      <c r="K564" s="260" t="s">
        <v>201</v>
      </c>
      <c r="L564" s="256" t="s">
        <v>154</v>
      </c>
      <c r="M564" s="252"/>
      <c r="N564" s="252"/>
      <c r="O564" s="252"/>
    </row>
    <row r="565" spans="1:15" hidden="1">
      <c r="A565" s="262">
        <v>45744</v>
      </c>
      <c r="B565" s="252" t="s">
        <v>929</v>
      </c>
      <c r="C565" s="252" t="s">
        <v>126</v>
      </c>
      <c r="D565" s="253" t="s">
        <v>442</v>
      </c>
      <c r="E565" s="263">
        <v>375000</v>
      </c>
      <c r="F565" s="254">
        <v>646.94658463959047</v>
      </c>
      <c r="G565" s="264">
        <v>579.64599999999996</v>
      </c>
      <c r="H565" s="256" t="s">
        <v>147</v>
      </c>
      <c r="I565" s="256" t="s">
        <v>1129</v>
      </c>
      <c r="J565" s="256" t="s">
        <v>97</v>
      </c>
      <c r="K565" s="260" t="s">
        <v>201</v>
      </c>
      <c r="L565" s="256" t="s">
        <v>154</v>
      </c>
      <c r="M565" s="252"/>
      <c r="N565" s="252"/>
      <c r="O565" s="252"/>
    </row>
    <row r="566" spans="1:15" hidden="1">
      <c r="A566" s="262">
        <v>45745</v>
      </c>
      <c r="B566" s="252" t="s">
        <v>1120</v>
      </c>
      <c r="C566" s="252" t="s">
        <v>264</v>
      </c>
      <c r="D566" s="252" t="s">
        <v>2088</v>
      </c>
      <c r="E566" s="263">
        <v>120000</v>
      </c>
      <c r="F566" s="254">
        <v>207.02290708466893</v>
      </c>
      <c r="G566" s="264">
        <v>579.64599999999996</v>
      </c>
      <c r="H566" s="256" t="s">
        <v>199</v>
      </c>
      <c r="I566" s="256" t="s">
        <v>1142</v>
      </c>
      <c r="J566" s="256" t="s">
        <v>97</v>
      </c>
      <c r="K566" s="260" t="s">
        <v>201</v>
      </c>
      <c r="L566" s="256" t="s">
        <v>154</v>
      </c>
      <c r="M566" s="252"/>
      <c r="N566" s="252"/>
      <c r="O566" s="252"/>
    </row>
    <row r="567" spans="1:15" hidden="1">
      <c r="A567" s="262">
        <v>45745</v>
      </c>
      <c r="B567" s="252" t="s">
        <v>1121</v>
      </c>
      <c r="C567" s="258" t="s">
        <v>176</v>
      </c>
      <c r="D567" s="252" t="s">
        <v>2088</v>
      </c>
      <c r="E567" s="263">
        <v>60000</v>
      </c>
      <c r="F567" s="254">
        <v>103.51145354233446</v>
      </c>
      <c r="G567" s="264">
        <v>579.64599999999996</v>
      </c>
      <c r="H567" s="256" t="s">
        <v>199</v>
      </c>
      <c r="I567" s="256" t="s">
        <v>1143</v>
      </c>
      <c r="J567" s="256" t="s">
        <v>97</v>
      </c>
      <c r="K567" s="260" t="s">
        <v>201</v>
      </c>
      <c r="L567" s="256" t="s">
        <v>154</v>
      </c>
      <c r="M567" s="252"/>
      <c r="N567" s="252"/>
      <c r="O567" s="252"/>
    </row>
    <row r="568" spans="1:15" hidden="1">
      <c r="A568" s="262">
        <v>45745</v>
      </c>
      <c r="B568" s="252" t="s">
        <v>1122</v>
      </c>
      <c r="C568" s="258" t="s">
        <v>173</v>
      </c>
      <c r="D568" s="252" t="s">
        <v>2088</v>
      </c>
      <c r="E568" s="263">
        <v>46875</v>
      </c>
      <c r="F568" s="254">
        <v>80.868323079948809</v>
      </c>
      <c r="G568" s="264">
        <v>579.64599999999996</v>
      </c>
      <c r="H568" s="256" t="s">
        <v>199</v>
      </c>
      <c r="I568" s="256" t="s">
        <v>1144</v>
      </c>
      <c r="J568" s="256" t="s">
        <v>97</v>
      </c>
      <c r="K568" s="260" t="s">
        <v>201</v>
      </c>
      <c r="L568" s="256" t="s">
        <v>154</v>
      </c>
      <c r="M568" s="252"/>
      <c r="N568" s="252"/>
      <c r="O568" s="252"/>
    </row>
    <row r="569" spans="1:15" hidden="1">
      <c r="A569" s="262">
        <v>45745</v>
      </c>
      <c r="B569" s="252" t="s">
        <v>1123</v>
      </c>
      <c r="C569" s="258" t="s">
        <v>173</v>
      </c>
      <c r="D569" s="252" t="s">
        <v>2088</v>
      </c>
      <c r="E569" s="263">
        <v>46875</v>
      </c>
      <c r="F569" s="254">
        <v>80.868323079948809</v>
      </c>
      <c r="G569" s="264">
        <v>579.64599999999996</v>
      </c>
      <c r="H569" s="256" t="s">
        <v>199</v>
      </c>
      <c r="I569" s="256" t="s">
        <v>1145</v>
      </c>
      <c r="J569" s="256" t="s">
        <v>97</v>
      </c>
      <c r="K569" s="260" t="s">
        <v>201</v>
      </c>
      <c r="L569" s="256" t="s">
        <v>154</v>
      </c>
      <c r="M569" s="252"/>
      <c r="N569" s="252"/>
      <c r="O569" s="252"/>
    </row>
    <row r="570" spans="1:15" hidden="1">
      <c r="A570" s="262">
        <v>45745</v>
      </c>
      <c r="B570" s="252" t="s">
        <v>1124</v>
      </c>
      <c r="C570" s="258" t="s">
        <v>173</v>
      </c>
      <c r="D570" s="253" t="s">
        <v>116</v>
      </c>
      <c r="E570" s="263">
        <v>40000</v>
      </c>
      <c r="F570" s="254">
        <v>69.007635694889643</v>
      </c>
      <c r="G570" s="264">
        <v>579.64599999999996</v>
      </c>
      <c r="H570" s="256" t="s">
        <v>199</v>
      </c>
      <c r="I570" s="256" t="s">
        <v>1146</v>
      </c>
      <c r="J570" s="256" t="s">
        <v>97</v>
      </c>
      <c r="K570" s="260" t="s">
        <v>201</v>
      </c>
      <c r="L570" s="256" t="s">
        <v>154</v>
      </c>
      <c r="M570" s="252"/>
      <c r="N570" s="252"/>
      <c r="O570" s="252"/>
    </row>
    <row r="571" spans="1:15" hidden="1">
      <c r="A571" s="262">
        <v>45745</v>
      </c>
      <c r="B571" s="252" t="s">
        <v>1016</v>
      </c>
      <c r="C571" s="258" t="s">
        <v>173</v>
      </c>
      <c r="D571" s="253" t="s">
        <v>442</v>
      </c>
      <c r="E571" s="263">
        <v>83200</v>
      </c>
      <c r="F571" s="254">
        <v>143.53588224537046</v>
      </c>
      <c r="G571" s="264">
        <v>579.64599999999996</v>
      </c>
      <c r="H571" s="256" t="s">
        <v>174</v>
      </c>
      <c r="I571" s="256" t="s">
        <v>1017</v>
      </c>
      <c r="J571" s="256" t="s">
        <v>97</v>
      </c>
      <c r="K571" s="260" t="s">
        <v>201</v>
      </c>
      <c r="L571" s="256" t="s">
        <v>154</v>
      </c>
      <c r="M571" s="252"/>
      <c r="N571" s="252"/>
      <c r="O571" s="252"/>
    </row>
    <row r="572" spans="1:15" hidden="1">
      <c r="A572" s="262">
        <v>45743</v>
      </c>
      <c r="B572" s="252" t="s">
        <v>1054</v>
      </c>
      <c r="C572" s="258" t="s">
        <v>176</v>
      </c>
      <c r="D572" s="253" t="s">
        <v>116</v>
      </c>
      <c r="E572" s="263">
        <v>150000</v>
      </c>
      <c r="F572" s="254">
        <v>258.77863385583618</v>
      </c>
      <c r="G572" s="264">
        <v>579.64599999999996</v>
      </c>
      <c r="H572" s="256" t="s">
        <v>186</v>
      </c>
      <c r="I572" s="256" t="s">
        <v>1055</v>
      </c>
      <c r="J572" s="256" t="s">
        <v>97</v>
      </c>
      <c r="K572" s="260" t="s">
        <v>201</v>
      </c>
      <c r="L572" s="256" t="s">
        <v>154</v>
      </c>
      <c r="M572" s="252"/>
      <c r="N572" s="252"/>
      <c r="O572" s="252"/>
    </row>
    <row r="573" spans="1:15" hidden="1">
      <c r="A573" s="262">
        <v>45745</v>
      </c>
      <c r="B573" s="252" t="s">
        <v>1056</v>
      </c>
      <c r="C573" s="258" t="s">
        <v>176</v>
      </c>
      <c r="D573" s="253" t="s">
        <v>116</v>
      </c>
      <c r="E573" s="263">
        <v>30000</v>
      </c>
      <c r="F573" s="254">
        <v>51.755726771167232</v>
      </c>
      <c r="G573" s="264">
        <v>579.64599999999996</v>
      </c>
      <c r="H573" s="256" t="s">
        <v>186</v>
      </c>
      <c r="I573" s="256" t="s">
        <v>1057</v>
      </c>
      <c r="J573" s="256" t="s">
        <v>97</v>
      </c>
      <c r="K573" s="260" t="s">
        <v>201</v>
      </c>
      <c r="L573" s="256" t="s">
        <v>154</v>
      </c>
      <c r="M573" s="252"/>
      <c r="N573" s="252"/>
      <c r="O573" s="252"/>
    </row>
    <row r="574" spans="1:15" hidden="1">
      <c r="A574" s="262">
        <v>45745</v>
      </c>
      <c r="B574" s="252" t="s">
        <v>1159</v>
      </c>
      <c r="C574" s="258" t="s">
        <v>173</v>
      </c>
      <c r="D574" s="253" t="s">
        <v>116</v>
      </c>
      <c r="E574" s="263">
        <v>6000</v>
      </c>
      <c r="F574" s="254">
        <v>10.351145354233447</v>
      </c>
      <c r="G574" s="264">
        <v>579.64599999999996</v>
      </c>
      <c r="H574" s="256" t="s">
        <v>186</v>
      </c>
      <c r="I574" s="256" t="s">
        <v>1058</v>
      </c>
      <c r="J574" s="256" t="s">
        <v>97</v>
      </c>
      <c r="K574" s="260" t="s">
        <v>201</v>
      </c>
      <c r="L574" s="256" t="s">
        <v>154</v>
      </c>
      <c r="M574" s="252"/>
      <c r="N574" s="252"/>
      <c r="O574" s="252"/>
    </row>
    <row r="575" spans="1:15" hidden="1">
      <c r="A575" s="262">
        <v>45745</v>
      </c>
      <c r="B575" s="252" t="s">
        <v>1059</v>
      </c>
      <c r="C575" s="258" t="s">
        <v>173</v>
      </c>
      <c r="D575" s="253" t="s">
        <v>116</v>
      </c>
      <c r="E575" s="263">
        <v>7000</v>
      </c>
      <c r="F575" s="254">
        <v>12.076336246605688</v>
      </c>
      <c r="G575" s="264">
        <v>579.64599999999996</v>
      </c>
      <c r="H575" s="256" t="s">
        <v>186</v>
      </c>
      <c r="I575" s="256" t="s">
        <v>1060</v>
      </c>
      <c r="J575" s="256" t="s">
        <v>97</v>
      </c>
      <c r="K575" s="260" t="s">
        <v>201</v>
      </c>
      <c r="L575" s="256" t="s">
        <v>154</v>
      </c>
      <c r="M575" s="252"/>
      <c r="N575" s="252"/>
      <c r="O575" s="252"/>
    </row>
    <row r="576" spans="1:15" hidden="1">
      <c r="A576" s="262">
        <v>45745</v>
      </c>
      <c r="B576" s="252" t="s">
        <v>2095</v>
      </c>
      <c r="C576" s="258" t="s">
        <v>173</v>
      </c>
      <c r="D576" s="253" t="s">
        <v>116</v>
      </c>
      <c r="E576" s="263">
        <v>49400</v>
      </c>
      <c r="F576" s="254">
        <v>85.224430083188707</v>
      </c>
      <c r="G576" s="264">
        <v>579.64599999999996</v>
      </c>
      <c r="H576" s="256" t="s">
        <v>186</v>
      </c>
      <c r="I576" s="256" t="s">
        <v>1061</v>
      </c>
      <c r="J576" s="256" t="s">
        <v>97</v>
      </c>
      <c r="K576" s="260" t="s">
        <v>201</v>
      </c>
      <c r="L576" s="256" t="s">
        <v>154</v>
      </c>
      <c r="M576" s="252"/>
      <c r="N576" s="252"/>
      <c r="O576" s="252"/>
    </row>
    <row r="577" spans="1:15" hidden="1">
      <c r="A577" s="262">
        <v>45747</v>
      </c>
      <c r="B577" s="252" t="s">
        <v>969</v>
      </c>
      <c r="C577" s="258" t="s">
        <v>173</v>
      </c>
      <c r="D577" s="252" t="s">
        <v>118</v>
      </c>
      <c r="E577" s="263">
        <v>61000</v>
      </c>
      <c r="F577" s="254">
        <v>105.2366444347067</v>
      </c>
      <c r="G577" s="264">
        <v>579.64599999999996</v>
      </c>
      <c r="H577" s="256" t="s">
        <v>152</v>
      </c>
      <c r="I577" s="256" t="s">
        <v>970</v>
      </c>
      <c r="J577" s="256" t="s">
        <v>97</v>
      </c>
      <c r="K577" s="260" t="s">
        <v>201</v>
      </c>
      <c r="L577" s="256" t="s">
        <v>154</v>
      </c>
      <c r="M577" s="252"/>
      <c r="N577" s="252"/>
      <c r="O577" s="252"/>
    </row>
    <row r="578" spans="1:15" hidden="1">
      <c r="A578" s="262">
        <v>45747</v>
      </c>
      <c r="B578" s="252" t="s">
        <v>1160</v>
      </c>
      <c r="C578" s="258" t="s">
        <v>173</v>
      </c>
      <c r="D578" s="252" t="s">
        <v>117</v>
      </c>
      <c r="E578" s="263">
        <v>35500</v>
      </c>
      <c r="F578" s="254">
        <v>61.244276679214558</v>
      </c>
      <c r="G578" s="264">
        <v>579.64599999999996</v>
      </c>
      <c r="H578" s="256" t="s">
        <v>583</v>
      </c>
      <c r="I578" s="256" t="s">
        <v>972</v>
      </c>
      <c r="J578" s="256" t="s">
        <v>97</v>
      </c>
      <c r="K578" s="260" t="s">
        <v>201</v>
      </c>
      <c r="L578" s="256" t="s">
        <v>154</v>
      </c>
      <c r="M578" s="252"/>
      <c r="N578" s="252"/>
      <c r="O578" s="252"/>
    </row>
    <row r="579" spans="1:15" hidden="1">
      <c r="A579" s="262">
        <v>45747</v>
      </c>
      <c r="B579" s="252" t="s">
        <v>823</v>
      </c>
      <c r="C579" s="252" t="s">
        <v>626</v>
      </c>
      <c r="D579" s="252" t="s">
        <v>117</v>
      </c>
      <c r="E579" s="263">
        <v>45050</v>
      </c>
      <c r="F579" s="254">
        <v>77.719849701369469</v>
      </c>
      <c r="G579" s="264">
        <v>579.64599999999996</v>
      </c>
      <c r="H579" s="256" t="s">
        <v>583</v>
      </c>
      <c r="I579" s="256" t="s">
        <v>878</v>
      </c>
      <c r="J579" s="256" t="s">
        <v>97</v>
      </c>
      <c r="K579" s="260" t="s">
        <v>201</v>
      </c>
      <c r="L579" s="256" t="s">
        <v>154</v>
      </c>
      <c r="M579" s="252"/>
      <c r="N579" s="252"/>
      <c r="O579" s="252"/>
    </row>
    <row r="580" spans="1:15" hidden="1">
      <c r="A580" s="262">
        <v>45747</v>
      </c>
      <c r="B580" s="252" t="s">
        <v>1030</v>
      </c>
      <c r="C580" s="258" t="s">
        <v>365</v>
      </c>
      <c r="D580" s="253" t="s">
        <v>442</v>
      </c>
      <c r="E580" s="263">
        <v>30100</v>
      </c>
      <c r="F580" s="254">
        <v>51.928245860404459</v>
      </c>
      <c r="G580" s="264">
        <v>579.64599999999996</v>
      </c>
      <c r="H580" s="256" t="s">
        <v>316</v>
      </c>
      <c r="I580" s="256" t="s">
        <v>1031</v>
      </c>
      <c r="J580" s="256" t="s">
        <v>97</v>
      </c>
      <c r="K580" s="260" t="s">
        <v>201</v>
      </c>
      <c r="L580" s="256" t="s">
        <v>154</v>
      </c>
      <c r="M580" s="252"/>
      <c r="N580" s="252"/>
      <c r="O580" s="252"/>
    </row>
    <row r="581" spans="1:15" hidden="1">
      <c r="A581" s="262">
        <v>45747</v>
      </c>
      <c r="B581" s="252" t="s">
        <v>1032</v>
      </c>
      <c r="C581" s="258" t="s">
        <v>173</v>
      </c>
      <c r="D581" s="253" t="s">
        <v>442</v>
      </c>
      <c r="E581" s="263">
        <v>89800</v>
      </c>
      <c r="F581" s="254">
        <v>154.92214213502726</v>
      </c>
      <c r="G581" s="264">
        <v>579.64599999999996</v>
      </c>
      <c r="H581" s="256" t="s">
        <v>316</v>
      </c>
      <c r="I581" s="256" t="s">
        <v>1033</v>
      </c>
      <c r="J581" s="256" t="s">
        <v>97</v>
      </c>
      <c r="K581" s="260" t="s">
        <v>201</v>
      </c>
      <c r="L581" s="256" t="s">
        <v>154</v>
      </c>
      <c r="M581" s="252"/>
      <c r="N581" s="252"/>
      <c r="O581" s="252"/>
    </row>
    <row r="582" spans="1:15" hidden="1">
      <c r="A582" s="262">
        <v>45747</v>
      </c>
      <c r="B582" s="252" t="s">
        <v>1041</v>
      </c>
      <c r="C582" s="258" t="s">
        <v>173</v>
      </c>
      <c r="D582" s="253" t="s">
        <v>442</v>
      </c>
      <c r="E582" s="263">
        <v>50500</v>
      </c>
      <c r="F582" s="254">
        <v>87.122140064798174</v>
      </c>
      <c r="G582" s="264">
        <v>579.64599999999996</v>
      </c>
      <c r="H582" s="256" t="s">
        <v>322</v>
      </c>
      <c r="I582" s="256" t="s">
        <v>1042</v>
      </c>
      <c r="J582" s="256" t="s">
        <v>97</v>
      </c>
      <c r="K582" s="260" t="s">
        <v>201</v>
      </c>
      <c r="L582" s="256" t="s">
        <v>154</v>
      </c>
      <c r="M582" s="252"/>
      <c r="N582" s="252"/>
      <c r="O582" s="252"/>
    </row>
    <row r="583" spans="1:15" hidden="1">
      <c r="A583" s="262">
        <v>45747</v>
      </c>
      <c r="B583" s="252" t="s">
        <v>1161</v>
      </c>
      <c r="C583" s="258" t="s">
        <v>173</v>
      </c>
      <c r="D583" s="253" t="s">
        <v>116</v>
      </c>
      <c r="E583" s="263">
        <v>53000</v>
      </c>
      <c r="F583" s="254">
        <v>91.435117295728773</v>
      </c>
      <c r="G583" s="264">
        <v>579.64599999999996</v>
      </c>
      <c r="H583" s="256" t="s">
        <v>192</v>
      </c>
      <c r="I583" s="256" t="s">
        <v>1085</v>
      </c>
      <c r="J583" s="256" t="s">
        <v>97</v>
      </c>
      <c r="K583" s="260" t="s">
        <v>201</v>
      </c>
      <c r="L583" s="256" t="s">
        <v>154</v>
      </c>
      <c r="M583" s="252"/>
      <c r="N583" s="252"/>
      <c r="O583" s="252"/>
    </row>
    <row r="584" spans="1:15" hidden="1">
      <c r="A584" s="262">
        <v>45747</v>
      </c>
      <c r="B584" s="252" t="s">
        <v>824</v>
      </c>
      <c r="C584" s="259" t="s">
        <v>2087</v>
      </c>
      <c r="D584" s="252" t="s">
        <v>117</v>
      </c>
      <c r="E584" s="263">
        <v>16890</v>
      </c>
      <c r="F584" s="254">
        <v>29.138474172167154</v>
      </c>
      <c r="G584" s="264">
        <v>579.64599999999996</v>
      </c>
      <c r="H584" s="256" t="s">
        <v>192</v>
      </c>
      <c r="I584" s="256" t="s">
        <v>879</v>
      </c>
      <c r="J584" s="256" t="s">
        <v>97</v>
      </c>
      <c r="K584" s="260" t="s">
        <v>201</v>
      </c>
      <c r="L584" s="256" t="s">
        <v>154</v>
      </c>
      <c r="M584" s="252"/>
      <c r="N584" s="252"/>
      <c r="O584" s="252"/>
    </row>
    <row r="585" spans="1:15" hidden="1">
      <c r="A585" s="262">
        <v>45747</v>
      </c>
      <c r="B585" s="252" t="s">
        <v>1097</v>
      </c>
      <c r="C585" s="258" t="s">
        <v>173</v>
      </c>
      <c r="D585" s="253" t="s">
        <v>116</v>
      </c>
      <c r="E585" s="263">
        <v>33000</v>
      </c>
      <c r="F585" s="254">
        <v>56.931299448283958</v>
      </c>
      <c r="G585" s="264">
        <v>579.64599999999996</v>
      </c>
      <c r="H585" s="256" t="s">
        <v>196</v>
      </c>
      <c r="I585" s="256" t="s">
        <v>1098</v>
      </c>
      <c r="J585" s="256" t="s">
        <v>97</v>
      </c>
      <c r="K585" s="260" t="s">
        <v>201</v>
      </c>
      <c r="L585" s="256" t="s">
        <v>154</v>
      </c>
      <c r="M585" s="252"/>
      <c r="N585" s="252"/>
      <c r="O585" s="252"/>
    </row>
    <row r="586" spans="1:15" hidden="1">
      <c r="A586" s="262">
        <v>45747</v>
      </c>
      <c r="B586" s="252" t="s">
        <v>930</v>
      </c>
      <c r="C586" s="252" t="s">
        <v>126</v>
      </c>
      <c r="D586" s="253" t="s">
        <v>442</v>
      </c>
      <c r="E586" s="263">
        <v>255000</v>
      </c>
      <c r="F586" s="254">
        <v>439.92367755492148</v>
      </c>
      <c r="G586" s="264">
        <v>579.64599999999996</v>
      </c>
      <c r="H586" s="256" t="s">
        <v>147</v>
      </c>
      <c r="I586" s="256" t="s">
        <v>1130</v>
      </c>
      <c r="J586" s="256" t="s">
        <v>97</v>
      </c>
      <c r="K586" s="260" t="s">
        <v>201</v>
      </c>
      <c r="L586" s="256" t="s">
        <v>154</v>
      </c>
      <c r="M586" s="252"/>
      <c r="N586" s="252"/>
      <c r="O586" s="252"/>
    </row>
    <row r="587" spans="1:15" hidden="1">
      <c r="A587" s="262">
        <v>45747</v>
      </c>
      <c r="B587" s="252" t="s">
        <v>931</v>
      </c>
      <c r="C587" s="252" t="s">
        <v>126</v>
      </c>
      <c r="D587" s="253" t="s">
        <v>442</v>
      </c>
      <c r="E587" s="263">
        <v>255000</v>
      </c>
      <c r="F587" s="254">
        <v>439.92367755492148</v>
      </c>
      <c r="G587" s="264">
        <v>579.64599999999996</v>
      </c>
      <c r="H587" s="256" t="s">
        <v>147</v>
      </c>
      <c r="I587" s="256" t="s">
        <v>1131</v>
      </c>
      <c r="J587" s="256" t="s">
        <v>97</v>
      </c>
      <c r="K587" s="260" t="s">
        <v>201</v>
      </c>
      <c r="L587" s="256" t="s">
        <v>154</v>
      </c>
      <c r="M587" s="252"/>
      <c r="N587" s="252"/>
      <c r="O587" s="252"/>
    </row>
    <row r="588" spans="1:15" hidden="1">
      <c r="A588" s="251">
        <v>45748</v>
      </c>
      <c r="B588" s="252" t="s">
        <v>1278</v>
      </c>
      <c r="C588" s="252" t="s">
        <v>1506</v>
      </c>
      <c r="D588" s="253" t="s">
        <v>989</v>
      </c>
      <c r="E588" s="254">
        <v>28000</v>
      </c>
      <c r="F588" s="254">
        <v>48.305344986422753</v>
      </c>
      <c r="G588" s="264">
        <v>579.64599999999996</v>
      </c>
      <c r="H588" s="256" t="s">
        <v>322</v>
      </c>
      <c r="I588" s="256" t="s">
        <v>1279</v>
      </c>
      <c r="J588" s="256" t="s">
        <v>97</v>
      </c>
      <c r="K588" s="256" t="s">
        <v>201</v>
      </c>
      <c r="L588" s="256" t="s">
        <v>154</v>
      </c>
      <c r="M588" s="252"/>
      <c r="N588" s="252"/>
      <c r="O588" s="252"/>
    </row>
    <row r="589" spans="1:15" hidden="1">
      <c r="A589" s="251">
        <v>45748</v>
      </c>
      <c r="B589" s="252" t="s">
        <v>1336</v>
      </c>
      <c r="C589" s="252" t="s">
        <v>173</v>
      </c>
      <c r="D589" s="253" t="s">
        <v>116</v>
      </c>
      <c r="E589" s="254">
        <v>7000</v>
      </c>
      <c r="F589" s="254">
        <v>12.076336246605688</v>
      </c>
      <c r="G589" s="264">
        <v>579.64599999999996</v>
      </c>
      <c r="H589" s="256" t="s">
        <v>192</v>
      </c>
      <c r="I589" s="256" t="s">
        <v>1337</v>
      </c>
      <c r="J589" s="256" t="s">
        <v>97</v>
      </c>
      <c r="K589" s="256" t="s">
        <v>201</v>
      </c>
      <c r="L589" s="256" t="s">
        <v>154</v>
      </c>
      <c r="M589" s="252"/>
      <c r="N589" s="252"/>
      <c r="O589" s="252"/>
    </row>
    <row r="590" spans="1:15" hidden="1">
      <c r="A590" s="251">
        <v>45748</v>
      </c>
      <c r="B590" s="252" t="s">
        <v>1338</v>
      </c>
      <c r="C590" s="252" t="s">
        <v>173</v>
      </c>
      <c r="D590" s="253" t="s">
        <v>116</v>
      </c>
      <c r="E590" s="254">
        <v>21000</v>
      </c>
      <c r="F590" s="254">
        <v>36.229008739817061</v>
      </c>
      <c r="G590" s="264">
        <v>579.64599999999996</v>
      </c>
      <c r="H590" s="256" t="s">
        <v>192</v>
      </c>
      <c r="I590" s="256" t="s">
        <v>1339</v>
      </c>
      <c r="J590" s="256" t="s">
        <v>97</v>
      </c>
      <c r="K590" s="256" t="s">
        <v>201</v>
      </c>
      <c r="L590" s="256" t="s">
        <v>154</v>
      </c>
      <c r="M590" s="252"/>
      <c r="N590" s="252"/>
      <c r="O590" s="252"/>
    </row>
    <row r="591" spans="1:15" hidden="1">
      <c r="A591" s="251">
        <v>45748</v>
      </c>
      <c r="B591" s="252" t="s">
        <v>1340</v>
      </c>
      <c r="C591" s="258" t="s">
        <v>176</v>
      </c>
      <c r="D591" s="253" t="s">
        <v>116</v>
      </c>
      <c r="E591" s="254">
        <v>50000</v>
      </c>
      <c r="F591" s="254">
        <v>86.259544618612054</v>
      </c>
      <c r="G591" s="264">
        <v>579.64599999999996</v>
      </c>
      <c r="H591" s="256" t="s">
        <v>192</v>
      </c>
      <c r="I591" s="256" t="s">
        <v>1341</v>
      </c>
      <c r="J591" s="256" t="s">
        <v>97</v>
      </c>
      <c r="K591" s="256" t="s">
        <v>201</v>
      </c>
      <c r="L591" s="256" t="s">
        <v>154</v>
      </c>
      <c r="M591" s="252"/>
      <c r="N591" s="252"/>
      <c r="O591" s="252"/>
    </row>
    <row r="592" spans="1:15" hidden="1">
      <c r="A592" s="251">
        <v>45748</v>
      </c>
      <c r="B592" s="252" t="s">
        <v>932</v>
      </c>
      <c r="C592" s="252" t="s">
        <v>303</v>
      </c>
      <c r="D592" s="252" t="s">
        <v>117</v>
      </c>
      <c r="E592" s="254">
        <v>260000</v>
      </c>
      <c r="F592" s="254">
        <v>448.54963201678271</v>
      </c>
      <c r="G592" s="264">
        <v>579.64599999999996</v>
      </c>
      <c r="H592" s="256" t="s">
        <v>147</v>
      </c>
      <c r="I592" s="256" t="s">
        <v>1458</v>
      </c>
      <c r="J592" s="256" t="s">
        <v>97</v>
      </c>
      <c r="K592" s="256" t="s">
        <v>201</v>
      </c>
      <c r="L592" s="256" t="s">
        <v>154</v>
      </c>
      <c r="M592" s="252"/>
      <c r="N592" s="252"/>
      <c r="O592" s="252"/>
    </row>
    <row r="593" spans="1:15" hidden="1">
      <c r="A593" s="251">
        <v>45749</v>
      </c>
      <c r="B593" s="252" t="s">
        <v>1192</v>
      </c>
      <c r="C593" s="252" t="s">
        <v>151</v>
      </c>
      <c r="D593" s="253" t="s">
        <v>442</v>
      </c>
      <c r="E593" s="254">
        <v>88000</v>
      </c>
      <c r="F593" s="254">
        <v>151.81679852875723</v>
      </c>
      <c r="G593" s="264">
        <v>579.64599999999996</v>
      </c>
      <c r="H593" s="256" t="s">
        <v>583</v>
      </c>
      <c r="I593" s="256" t="s">
        <v>1193</v>
      </c>
      <c r="J593" s="256" t="s">
        <v>97</v>
      </c>
      <c r="K593" s="256" t="s">
        <v>201</v>
      </c>
      <c r="L593" s="256" t="s">
        <v>154</v>
      </c>
      <c r="M593" s="252"/>
      <c r="N593" s="252"/>
      <c r="O593" s="252"/>
    </row>
    <row r="594" spans="1:15" hidden="1">
      <c r="A594" s="251">
        <v>45749</v>
      </c>
      <c r="B594" s="252" t="s">
        <v>1194</v>
      </c>
      <c r="C594" s="252" t="s">
        <v>151</v>
      </c>
      <c r="D594" s="252" t="s">
        <v>119</v>
      </c>
      <c r="E594" s="254">
        <v>10000</v>
      </c>
      <c r="F594" s="254">
        <v>17.251908923722411</v>
      </c>
      <c r="G594" s="264">
        <v>579.64599999999996</v>
      </c>
      <c r="H594" s="256" t="s">
        <v>583</v>
      </c>
      <c r="I594" s="256" t="s">
        <v>1195</v>
      </c>
      <c r="J594" s="256" t="s">
        <v>97</v>
      </c>
      <c r="K594" s="256" t="s">
        <v>201</v>
      </c>
      <c r="L594" s="256" t="s">
        <v>154</v>
      </c>
      <c r="M594" s="252"/>
      <c r="N594" s="252"/>
      <c r="O594" s="252"/>
    </row>
    <row r="595" spans="1:15" hidden="1">
      <c r="A595" s="251">
        <v>45749</v>
      </c>
      <c r="B595" s="252" t="s">
        <v>1196</v>
      </c>
      <c r="C595" s="252" t="s">
        <v>151</v>
      </c>
      <c r="D595" s="253" t="s">
        <v>116</v>
      </c>
      <c r="E595" s="254">
        <v>10000</v>
      </c>
      <c r="F595" s="254">
        <v>17.251908923722411</v>
      </c>
      <c r="G595" s="264">
        <v>579.64599999999996</v>
      </c>
      <c r="H595" s="256" t="s">
        <v>583</v>
      </c>
      <c r="I595" s="256" t="s">
        <v>1197</v>
      </c>
      <c r="J595" s="256" t="s">
        <v>97</v>
      </c>
      <c r="K595" s="256" t="s">
        <v>201</v>
      </c>
      <c r="L595" s="256" t="s">
        <v>154</v>
      </c>
      <c r="M595" s="252"/>
      <c r="N595" s="252"/>
      <c r="O595" s="252"/>
    </row>
    <row r="596" spans="1:15" hidden="1">
      <c r="A596" s="251">
        <v>45749</v>
      </c>
      <c r="B596" s="252" t="s">
        <v>1198</v>
      </c>
      <c r="C596" s="252" t="s">
        <v>151</v>
      </c>
      <c r="D596" s="253" t="s">
        <v>442</v>
      </c>
      <c r="E596" s="254">
        <v>16000</v>
      </c>
      <c r="F596" s="254">
        <v>27.603054277955859</v>
      </c>
      <c r="G596" s="264">
        <v>579.64599999999996</v>
      </c>
      <c r="H596" s="256" t="s">
        <v>583</v>
      </c>
      <c r="I596" s="256" t="s">
        <v>1199</v>
      </c>
      <c r="J596" s="256" t="s">
        <v>97</v>
      </c>
      <c r="K596" s="256" t="s">
        <v>201</v>
      </c>
      <c r="L596" s="256" t="s">
        <v>154</v>
      </c>
      <c r="M596" s="252"/>
      <c r="N596" s="252"/>
      <c r="O596" s="252"/>
    </row>
    <row r="597" spans="1:15" hidden="1">
      <c r="A597" s="251">
        <v>45749</v>
      </c>
      <c r="B597" s="252" t="s">
        <v>1200</v>
      </c>
      <c r="C597" s="252" t="s">
        <v>151</v>
      </c>
      <c r="D597" s="252" t="s">
        <v>119</v>
      </c>
      <c r="E597" s="254">
        <v>11000</v>
      </c>
      <c r="F597" s="254">
        <v>18.977099816094654</v>
      </c>
      <c r="G597" s="264">
        <v>579.64599999999996</v>
      </c>
      <c r="H597" s="256" t="s">
        <v>583</v>
      </c>
      <c r="I597" s="256" t="s">
        <v>1201</v>
      </c>
      <c r="J597" s="256" t="s">
        <v>97</v>
      </c>
      <c r="K597" s="256" t="s">
        <v>201</v>
      </c>
      <c r="L597" s="256" t="s">
        <v>154</v>
      </c>
      <c r="M597" s="252"/>
      <c r="N597" s="252"/>
      <c r="O597" s="252"/>
    </row>
    <row r="598" spans="1:15" hidden="1">
      <c r="A598" s="251">
        <v>45749</v>
      </c>
      <c r="B598" s="252" t="s">
        <v>1492</v>
      </c>
      <c r="C598" s="258" t="s">
        <v>176</v>
      </c>
      <c r="D598" s="253" t="s">
        <v>116</v>
      </c>
      <c r="E598" s="254">
        <v>20000</v>
      </c>
      <c r="F598" s="254">
        <v>34.503817847444822</v>
      </c>
      <c r="G598" s="264">
        <v>579.64599999999996</v>
      </c>
      <c r="H598" s="256" t="s">
        <v>192</v>
      </c>
      <c r="I598" s="256" t="s">
        <v>1342</v>
      </c>
      <c r="J598" s="256" t="s">
        <v>97</v>
      </c>
      <c r="K598" s="256" t="s">
        <v>201</v>
      </c>
      <c r="L598" s="256" t="s">
        <v>154</v>
      </c>
      <c r="M598" s="252"/>
      <c r="N598" s="252"/>
      <c r="O598" s="252"/>
    </row>
    <row r="599" spans="1:15" hidden="1">
      <c r="A599" s="251">
        <v>45749</v>
      </c>
      <c r="B599" s="252" t="s">
        <v>1188</v>
      </c>
      <c r="C599" s="252" t="s">
        <v>151</v>
      </c>
      <c r="D599" s="252" t="s">
        <v>118</v>
      </c>
      <c r="E599" s="268">
        <v>42000</v>
      </c>
      <c r="F599" s="254">
        <v>72.052412983844818</v>
      </c>
      <c r="G599" s="255">
        <v>582.90899999999999</v>
      </c>
      <c r="H599" s="256" t="s">
        <v>583</v>
      </c>
      <c r="I599" s="256" t="s">
        <v>1189</v>
      </c>
      <c r="J599" s="256" t="s">
        <v>97</v>
      </c>
      <c r="K599" s="269" t="s">
        <v>1903</v>
      </c>
      <c r="L599" s="256" t="s">
        <v>154</v>
      </c>
      <c r="M599" s="252"/>
      <c r="N599" s="252"/>
      <c r="O599" s="252"/>
    </row>
    <row r="600" spans="1:15" hidden="1">
      <c r="A600" s="281">
        <v>45749</v>
      </c>
      <c r="B600" s="252" t="s">
        <v>1442</v>
      </c>
      <c r="C600" s="252" t="s">
        <v>124</v>
      </c>
      <c r="D600" s="252"/>
      <c r="E600" s="282"/>
      <c r="F600" s="295">
        <f t="shared" ref="F600" si="2">+E600/G600</f>
        <v>0</v>
      </c>
      <c r="G600" s="296">
        <f>+M600/N600</f>
        <v>582.90859999999998</v>
      </c>
      <c r="H600" s="252" t="s">
        <v>147</v>
      </c>
      <c r="I600" s="252" t="s">
        <v>1468</v>
      </c>
      <c r="J600" s="252" t="s">
        <v>97</v>
      </c>
      <c r="K600" s="252" t="s">
        <v>1903</v>
      </c>
      <c r="L600" s="252" t="s">
        <v>154</v>
      </c>
      <c r="M600" s="252">
        <v>17487258</v>
      </c>
      <c r="N600" s="252">
        <v>30000</v>
      </c>
      <c r="O600" s="252"/>
    </row>
    <row r="601" spans="1:15" hidden="1">
      <c r="A601" s="251">
        <v>45749</v>
      </c>
      <c r="B601" s="252" t="s">
        <v>1190</v>
      </c>
      <c r="C601" s="252" t="s">
        <v>151</v>
      </c>
      <c r="D601" s="253" t="s">
        <v>116</v>
      </c>
      <c r="E601" s="268">
        <v>95000</v>
      </c>
      <c r="F601" s="254">
        <v>162.97569603488711</v>
      </c>
      <c r="G601" s="255">
        <v>582.90899999999999</v>
      </c>
      <c r="H601" s="256" t="s">
        <v>583</v>
      </c>
      <c r="I601" s="256" t="s">
        <v>1191</v>
      </c>
      <c r="J601" s="256" t="s">
        <v>97</v>
      </c>
      <c r="K601" s="269" t="s">
        <v>1903</v>
      </c>
      <c r="L601" s="256" t="s">
        <v>154</v>
      </c>
      <c r="M601" s="252"/>
      <c r="N601" s="252"/>
      <c r="O601" s="252"/>
    </row>
    <row r="602" spans="1:15" hidden="1">
      <c r="A602" s="270">
        <v>45750</v>
      </c>
      <c r="B602" s="252" t="s">
        <v>1490</v>
      </c>
      <c r="C602" s="252" t="s">
        <v>1506</v>
      </c>
      <c r="D602" s="253" t="s">
        <v>989</v>
      </c>
      <c r="E602" s="254">
        <v>50000</v>
      </c>
      <c r="F602" s="254">
        <v>86.259544618612054</v>
      </c>
      <c r="G602" s="267">
        <v>579.64599999999996</v>
      </c>
      <c r="H602" s="256" t="s">
        <v>174</v>
      </c>
      <c r="I602" s="256" t="s">
        <v>1257</v>
      </c>
      <c r="J602" s="256" t="s">
        <v>97</v>
      </c>
      <c r="K602" s="256" t="s">
        <v>1133</v>
      </c>
      <c r="L602" s="256" t="s">
        <v>154</v>
      </c>
      <c r="M602" s="252"/>
      <c r="N602" s="252"/>
      <c r="O602" s="252"/>
    </row>
    <row r="603" spans="1:15" hidden="1">
      <c r="A603" s="251">
        <v>45750</v>
      </c>
      <c r="B603" s="252" t="s">
        <v>3754</v>
      </c>
      <c r="C603" s="252" t="s">
        <v>173</v>
      </c>
      <c r="D603" s="253" t="s">
        <v>442</v>
      </c>
      <c r="E603" s="254">
        <v>7000</v>
      </c>
      <c r="F603" s="254">
        <v>12.00873549730747</v>
      </c>
      <c r="G603" s="255">
        <v>582.90899999999999</v>
      </c>
      <c r="H603" s="256" t="s">
        <v>183</v>
      </c>
      <c r="I603" s="256" t="s">
        <v>1471</v>
      </c>
      <c r="J603" s="256" t="s">
        <v>97</v>
      </c>
      <c r="K603" s="269" t="s">
        <v>1903</v>
      </c>
      <c r="L603" s="256" t="s">
        <v>154</v>
      </c>
      <c r="M603" s="252"/>
      <c r="N603" s="252"/>
      <c r="O603" s="252"/>
    </row>
    <row r="604" spans="1:15" hidden="1">
      <c r="A604" s="251">
        <v>45750</v>
      </c>
      <c r="B604" s="252" t="s">
        <v>3689</v>
      </c>
      <c r="C604" s="252" t="s">
        <v>173</v>
      </c>
      <c r="D604" s="253" t="s">
        <v>442</v>
      </c>
      <c r="E604" s="254">
        <v>7000</v>
      </c>
      <c r="F604" s="254">
        <v>12.076336246605688</v>
      </c>
      <c r="G604" s="267">
        <v>579.64599999999996</v>
      </c>
      <c r="H604" s="256" t="s">
        <v>316</v>
      </c>
      <c r="I604" s="256" t="s">
        <v>1270</v>
      </c>
      <c r="J604" s="256" t="s">
        <v>97</v>
      </c>
      <c r="K604" s="256" t="s">
        <v>1133</v>
      </c>
      <c r="L604" s="256" t="s">
        <v>154</v>
      </c>
      <c r="M604" s="252"/>
      <c r="N604" s="252"/>
      <c r="O604" s="252"/>
    </row>
    <row r="605" spans="1:15" hidden="1">
      <c r="A605" s="271">
        <v>45751</v>
      </c>
      <c r="B605" s="252" t="s">
        <v>1343</v>
      </c>
      <c r="C605" s="252" t="s">
        <v>173</v>
      </c>
      <c r="D605" s="253" t="s">
        <v>116</v>
      </c>
      <c r="E605" s="254">
        <v>7000</v>
      </c>
      <c r="F605" s="254">
        <v>12.076336246605688</v>
      </c>
      <c r="G605" s="267">
        <v>579.64599999999996</v>
      </c>
      <c r="H605" s="256" t="s">
        <v>192</v>
      </c>
      <c r="I605" s="256" t="s">
        <v>1344</v>
      </c>
      <c r="J605" s="256" t="s">
        <v>97</v>
      </c>
      <c r="K605" s="256" t="s">
        <v>1133</v>
      </c>
      <c r="L605" s="256" t="s">
        <v>154</v>
      </c>
      <c r="M605" s="252"/>
      <c r="N605" s="252"/>
      <c r="O605" s="252"/>
    </row>
    <row r="606" spans="1:15" hidden="1">
      <c r="A606" s="251">
        <v>45751</v>
      </c>
      <c r="B606" s="252" t="s">
        <v>3774</v>
      </c>
      <c r="C606" s="258" t="s">
        <v>176</v>
      </c>
      <c r="D606" s="253" t="s">
        <v>442</v>
      </c>
      <c r="E606" s="254">
        <v>140000</v>
      </c>
      <c r="F606" s="254">
        <v>241.52672493211375</v>
      </c>
      <c r="G606" s="267">
        <v>579.64599999999996</v>
      </c>
      <c r="H606" s="256" t="s">
        <v>183</v>
      </c>
      <c r="I606" s="256" t="s">
        <v>1472</v>
      </c>
      <c r="J606" s="256" t="s">
        <v>97</v>
      </c>
      <c r="K606" s="256" t="s">
        <v>1133</v>
      </c>
      <c r="L606" s="256" t="s">
        <v>154</v>
      </c>
      <c r="M606" s="252"/>
      <c r="N606" s="252"/>
      <c r="O606" s="252"/>
    </row>
    <row r="607" spans="1:15" hidden="1">
      <c r="A607" s="251">
        <v>45751</v>
      </c>
      <c r="B607" s="252" t="s">
        <v>3701</v>
      </c>
      <c r="C607" s="258" t="s">
        <v>176</v>
      </c>
      <c r="D607" s="253" t="s">
        <v>442</v>
      </c>
      <c r="E607" s="254">
        <v>140000</v>
      </c>
      <c r="F607" s="254">
        <v>241.52672493211375</v>
      </c>
      <c r="G607" s="267">
        <v>579.64599999999996</v>
      </c>
      <c r="H607" s="256" t="s">
        <v>316</v>
      </c>
      <c r="I607" s="256" t="s">
        <v>1271</v>
      </c>
      <c r="J607" s="256" t="s">
        <v>97</v>
      </c>
      <c r="K607" s="256" t="s">
        <v>1133</v>
      </c>
      <c r="L607" s="256" t="s">
        <v>154</v>
      </c>
      <c r="M607" s="252"/>
      <c r="N607" s="252"/>
      <c r="O607" s="252"/>
    </row>
    <row r="608" spans="1:15" hidden="1">
      <c r="A608" s="251">
        <v>45751</v>
      </c>
      <c r="B608" s="252" t="s">
        <v>1493</v>
      </c>
      <c r="C608" s="258" t="s">
        <v>176</v>
      </c>
      <c r="D608" s="253" t="s">
        <v>116</v>
      </c>
      <c r="E608" s="254">
        <v>30000</v>
      </c>
      <c r="F608" s="254">
        <v>51.755726771167232</v>
      </c>
      <c r="G608" s="267">
        <v>579.64599999999996</v>
      </c>
      <c r="H608" s="256" t="s">
        <v>192</v>
      </c>
      <c r="I608" s="256" t="s">
        <v>1345</v>
      </c>
      <c r="J608" s="256" t="s">
        <v>97</v>
      </c>
      <c r="K608" s="256" t="s">
        <v>1133</v>
      </c>
      <c r="L608" s="256" t="s">
        <v>154</v>
      </c>
      <c r="M608" s="252"/>
      <c r="N608" s="252"/>
      <c r="O608" s="252"/>
    </row>
    <row r="609" spans="1:15" hidden="1">
      <c r="A609" s="251">
        <v>45751</v>
      </c>
      <c r="B609" s="252" t="s">
        <v>1415</v>
      </c>
      <c r="C609" s="258" t="s">
        <v>2089</v>
      </c>
      <c r="D609" s="252" t="s">
        <v>119</v>
      </c>
      <c r="E609" s="254">
        <v>122000</v>
      </c>
      <c r="F609" s="254">
        <v>210.47328886941341</v>
      </c>
      <c r="G609" s="267">
        <v>579.64599999999996</v>
      </c>
      <c r="H609" s="256" t="s">
        <v>212</v>
      </c>
      <c r="I609" s="256" t="s">
        <v>1416</v>
      </c>
      <c r="J609" s="256" t="s">
        <v>97</v>
      </c>
      <c r="K609" s="256" t="s">
        <v>1133</v>
      </c>
      <c r="L609" s="256" t="s">
        <v>154</v>
      </c>
      <c r="M609" s="252"/>
      <c r="N609" s="252"/>
      <c r="O609" s="252"/>
    </row>
    <row r="610" spans="1:15" hidden="1">
      <c r="A610" s="271">
        <v>45752</v>
      </c>
      <c r="B610" s="252" t="s">
        <v>1381</v>
      </c>
      <c r="C610" s="252" t="s">
        <v>195</v>
      </c>
      <c r="D610" s="253" t="s">
        <v>116</v>
      </c>
      <c r="E610" s="254">
        <v>10000</v>
      </c>
      <c r="F610" s="254">
        <v>17.251908923722411</v>
      </c>
      <c r="G610" s="267">
        <v>579.64599999999996</v>
      </c>
      <c r="H610" s="256" t="s">
        <v>196</v>
      </c>
      <c r="I610" s="256" t="s">
        <v>1382</v>
      </c>
      <c r="J610" s="256" t="s">
        <v>97</v>
      </c>
      <c r="K610" s="256" t="s">
        <v>1133</v>
      </c>
      <c r="L610" s="256" t="s">
        <v>154</v>
      </c>
      <c r="M610" s="252"/>
      <c r="N610" s="252"/>
      <c r="O610" s="252"/>
    </row>
    <row r="611" spans="1:15" hidden="1">
      <c r="A611" s="251">
        <v>45752</v>
      </c>
      <c r="B611" s="252" t="s">
        <v>1169</v>
      </c>
      <c r="C611" s="258" t="s">
        <v>176</v>
      </c>
      <c r="D611" s="253" t="s">
        <v>116</v>
      </c>
      <c r="E611" s="254">
        <v>210000</v>
      </c>
      <c r="F611" s="254">
        <v>360.26206491922409</v>
      </c>
      <c r="G611" s="255">
        <v>582.90899999999999</v>
      </c>
      <c r="H611" s="256" t="s">
        <v>199</v>
      </c>
      <c r="I611" s="256" t="s">
        <v>1170</v>
      </c>
      <c r="J611" s="256" t="s">
        <v>97</v>
      </c>
      <c r="K611" s="269" t="s">
        <v>1903</v>
      </c>
      <c r="L611" s="256" t="s">
        <v>154</v>
      </c>
      <c r="M611" s="252"/>
      <c r="N611" s="252"/>
      <c r="O611" s="252"/>
    </row>
    <row r="612" spans="1:15" hidden="1">
      <c r="A612" s="251">
        <v>45752</v>
      </c>
      <c r="B612" s="252" t="s">
        <v>1171</v>
      </c>
      <c r="C612" s="252" t="s">
        <v>173</v>
      </c>
      <c r="D612" s="253" t="s">
        <v>116</v>
      </c>
      <c r="E612" s="254">
        <v>10000</v>
      </c>
      <c r="F612" s="254">
        <v>17.155336424724958</v>
      </c>
      <c r="G612" s="255">
        <v>582.90899999999999</v>
      </c>
      <c r="H612" s="256" t="s">
        <v>199</v>
      </c>
      <c r="I612" s="256" t="s">
        <v>1172</v>
      </c>
      <c r="J612" s="256" t="s">
        <v>97</v>
      </c>
      <c r="K612" s="269" t="s">
        <v>1903</v>
      </c>
      <c r="L612" s="256" t="s">
        <v>154</v>
      </c>
      <c r="M612" s="252"/>
      <c r="N612" s="252"/>
      <c r="O612" s="252"/>
    </row>
    <row r="613" spans="1:15" hidden="1">
      <c r="A613" s="251">
        <v>45752</v>
      </c>
      <c r="B613" s="252" t="s">
        <v>1272</v>
      </c>
      <c r="C613" s="252" t="s">
        <v>365</v>
      </c>
      <c r="D613" s="253" t="s">
        <v>442</v>
      </c>
      <c r="E613" s="254">
        <v>10500</v>
      </c>
      <c r="F613" s="254">
        <v>18.013103245961204</v>
      </c>
      <c r="G613" s="255">
        <v>582.90899999999999</v>
      </c>
      <c r="H613" s="256" t="s">
        <v>316</v>
      </c>
      <c r="I613" s="256" t="s">
        <v>1273</v>
      </c>
      <c r="J613" s="256" t="s">
        <v>97</v>
      </c>
      <c r="K613" s="269" t="s">
        <v>1903</v>
      </c>
      <c r="L613" s="256" t="s">
        <v>154</v>
      </c>
      <c r="M613" s="252"/>
      <c r="N613" s="252"/>
      <c r="O613" s="252"/>
    </row>
    <row r="614" spans="1:15" hidden="1">
      <c r="A614" s="251">
        <v>45752</v>
      </c>
      <c r="B614" s="252" t="s">
        <v>1383</v>
      </c>
      <c r="C614" s="258" t="s">
        <v>176</v>
      </c>
      <c r="D614" s="253" t="s">
        <v>116</v>
      </c>
      <c r="E614" s="254">
        <v>285000</v>
      </c>
      <c r="F614" s="254">
        <v>488.92708810466127</v>
      </c>
      <c r="G614" s="255">
        <v>582.90899999999999</v>
      </c>
      <c r="H614" s="256" t="s">
        <v>196</v>
      </c>
      <c r="I614" s="256" t="s">
        <v>1384</v>
      </c>
      <c r="J614" s="256" t="s">
        <v>97</v>
      </c>
      <c r="K614" s="269" t="s">
        <v>1903</v>
      </c>
      <c r="L614" s="256" t="s">
        <v>154</v>
      </c>
      <c r="M614" s="252"/>
      <c r="N614" s="252"/>
      <c r="O614" s="252"/>
    </row>
    <row r="615" spans="1:15" hidden="1">
      <c r="A615" s="251">
        <v>45754</v>
      </c>
      <c r="B615" s="252" t="s">
        <v>1202</v>
      </c>
      <c r="C615" s="252" t="s">
        <v>126</v>
      </c>
      <c r="D615" s="253" t="s">
        <v>116</v>
      </c>
      <c r="E615" s="254">
        <v>30000</v>
      </c>
      <c r="F615" s="254">
        <v>51.466009274174873</v>
      </c>
      <c r="G615" s="255">
        <v>582.90899999999999</v>
      </c>
      <c r="H615" s="256" t="s">
        <v>583</v>
      </c>
      <c r="I615" s="256" t="s">
        <v>1203</v>
      </c>
      <c r="J615" s="256" t="s">
        <v>97</v>
      </c>
      <c r="K615" s="269" t="s">
        <v>1903</v>
      </c>
      <c r="L615" s="256" t="s">
        <v>154</v>
      </c>
      <c r="M615" s="252"/>
      <c r="N615" s="252"/>
      <c r="O615" s="252"/>
    </row>
    <row r="616" spans="1:15" hidden="1">
      <c r="A616" s="251">
        <v>45754</v>
      </c>
      <c r="B616" s="252" t="s">
        <v>1204</v>
      </c>
      <c r="C616" s="252" t="s">
        <v>264</v>
      </c>
      <c r="D616" s="252" t="s">
        <v>2088</v>
      </c>
      <c r="E616" s="254">
        <v>40000</v>
      </c>
      <c r="F616" s="254">
        <v>68.62134569889983</v>
      </c>
      <c r="G616" s="255">
        <v>582.90899999999999</v>
      </c>
      <c r="H616" s="256" t="s">
        <v>583</v>
      </c>
      <c r="I616" s="256" t="s">
        <v>1205</v>
      </c>
      <c r="J616" s="256" t="s">
        <v>97</v>
      </c>
      <c r="K616" s="269" t="s">
        <v>1903</v>
      </c>
      <c r="L616" s="256" t="s">
        <v>154</v>
      </c>
      <c r="M616" s="252"/>
      <c r="N616" s="252"/>
      <c r="O616" s="252"/>
    </row>
    <row r="617" spans="1:15" hidden="1">
      <c r="A617" s="251">
        <v>45755</v>
      </c>
      <c r="B617" s="252" t="s">
        <v>1165</v>
      </c>
      <c r="C617" s="252" t="s">
        <v>126</v>
      </c>
      <c r="D617" s="252" t="s">
        <v>118</v>
      </c>
      <c r="E617" s="254">
        <v>174625</v>
      </c>
      <c r="F617" s="254">
        <v>299.57506231675956</v>
      </c>
      <c r="G617" s="255">
        <v>582.90899999999999</v>
      </c>
      <c r="H617" s="256" t="s">
        <v>152</v>
      </c>
      <c r="I617" s="256" t="s">
        <v>1166</v>
      </c>
      <c r="J617" s="256" t="s">
        <v>97</v>
      </c>
      <c r="K617" s="269" t="s">
        <v>1903</v>
      </c>
      <c r="L617" s="256" t="s">
        <v>154</v>
      </c>
      <c r="M617" s="252"/>
      <c r="N617" s="252"/>
      <c r="O617" s="252"/>
    </row>
    <row r="618" spans="1:15" hidden="1">
      <c r="A618" s="251">
        <v>45755</v>
      </c>
      <c r="B618" s="252" t="s">
        <v>584</v>
      </c>
      <c r="C618" s="252" t="s">
        <v>368</v>
      </c>
      <c r="D618" s="253" t="s">
        <v>442</v>
      </c>
      <c r="E618" s="254">
        <v>67051</v>
      </c>
      <c r="F618" s="254">
        <v>115.02824626142331</v>
      </c>
      <c r="G618" s="255">
        <v>582.90899999999999</v>
      </c>
      <c r="H618" s="256" t="s">
        <v>152</v>
      </c>
      <c r="I618" s="256" t="s">
        <v>1183</v>
      </c>
      <c r="J618" s="256" t="s">
        <v>97</v>
      </c>
      <c r="K618" s="269" t="s">
        <v>1903</v>
      </c>
      <c r="L618" s="256" t="s">
        <v>154</v>
      </c>
      <c r="M618" s="252"/>
      <c r="N618" s="252"/>
      <c r="O618" s="252"/>
    </row>
    <row r="619" spans="1:15" hidden="1">
      <c r="A619" s="251">
        <v>45755</v>
      </c>
      <c r="B619" s="252" t="s">
        <v>1206</v>
      </c>
      <c r="C619" s="252" t="s">
        <v>126</v>
      </c>
      <c r="D619" s="252" t="s">
        <v>118</v>
      </c>
      <c r="E619" s="254">
        <v>30000</v>
      </c>
      <c r="F619" s="254">
        <v>51.466009274174873</v>
      </c>
      <c r="G619" s="255">
        <v>582.90899999999999</v>
      </c>
      <c r="H619" s="256" t="s">
        <v>583</v>
      </c>
      <c r="I619" s="256" t="s">
        <v>1207</v>
      </c>
      <c r="J619" s="256" t="s">
        <v>97</v>
      </c>
      <c r="K619" s="269" t="s">
        <v>1903</v>
      </c>
      <c r="L619" s="256" t="s">
        <v>154</v>
      </c>
      <c r="M619" s="252"/>
      <c r="N619" s="252"/>
      <c r="O619" s="252"/>
    </row>
    <row r="620" spans="1:15" hidden="1">
      <c r="A620" s="251">
        <v>45755</v>
      </c>
      <c r="B620" s="252" t="s">
        <v>1208</v>
      </c>
      <c r="C620" s="252" t="s">
        <v>126</v>
      </c>
      <c r="D620" s="253" t="s">
        <v>116</v>
      </c>
      <c r="E620" s="254">
        <v>30000</v>
      </c>
      <c r="F620" s="254">
        <v>51.466009274174873</v>
      </c>
      <c r="G620" s="255">
        <v>582.90899999999999</v>
      </c>
      <c r="H620" s="256" t="s">
        <v>583</v>
      </c>
      <c r="I620" s="256" t="s">
        <v>1209</v>
      </c>
      <c r="J620" s="256" t="s">
        <v>97</v>
      </c>
      <c r="K620" s="269" t="s">
        <v>1903</v>
      </c>
      <c r="L620" s="256" t="s">
        <v>154</v>
      </c>
      <c r="M620" s="252"/>
      <c r="N620" s="252"/>
      <c r="O620" s="252"/>
    </row>
    <row r="621" spans="1:15" hidden="1">
      <c r="A621" s="251">
        <v>45755</v>
      </c>
      <c r="B621" s="252" t="s">
        <v>1210</v>
      </c>
      <c r="C621" s="252" t="s">
        <v>126</v>
      </c>
      <c r="D621" s="253" t="s">
        <v>116</v>
      </c>
      <c r="E621" s="254">
        <v>20500</v>
      </c>
      <c r="F621" s="254">
        <v>35.168439670686162</v>
      </c>
      <c r="G621" s="255">
        <v>582.90899999999999</v>
      </c>
      <c r="H621" s="256" t="s">
        <v>583</v>
      </c>
      <c r="I621" s="256" t="s">
        <v>1211</v>
      </c>
      <c r="J621" s="256" t="s">
        <v>97</v>
      </c>
      <c r="K621" s="269" t="s">
        <v>1903</v>
      </c>
      <c r="L621" s="256" t="s">
        <v>154</v>
      </c>
      <c r="M621" s="252"/>
      <c r="N621" s="252"/>
      <c r="O621" s="252"/>
    </row>
    <row r="622" spans="1:15" hidden="1">
      <c r="A622" s="251">
        <v>45755</v>
      </c>
      <c r="B622" s="252" t="s">
        <v>1212</v>
      </c>
      <c r="C622" s="252" t="s">
        <v>126</v>
      </c>
      <c r="D622" s="253" t="s">
        <v>116</v>
      </c>
      <c r="E622" s="254">
        <v>30000</v>
      </c>
      <c r="F622" s="254">
        <v>51.466009274174873</v>
      </c>
      <c r="G622" s="255">
        <v>582.90899999999999</v>
      </c>
      <c r="H622" s="256" t="s">
        <v>583</v>
      </c>
      <c r="I622" s="256" t="s">
        <v>1213</v>
      </c>
      <c r="J622" s="256" t="s">
        <v>97</v>
      </c>
      <c r="K622" s="269" t="s">
        <v>1903</v>
      </c>
      <c r="L622" s="256" t="s">
        <v>154</v>
      </c>
      <c r="M622" s="252"/>
      <c r="N622" s="252"/>
      <c r="O622" s="252"/>
    </row>
    <row r="623" spans="1:15" hidden="1">
      <c r="A623" s="251">
        <v>45755</v>
      </c>
      <c r="B623" s="252" t="s">
        <v>1214</v>
      </c>
      <c r="C623" s="252" t="s">
        <v>126</v>
      </c>
      <c r="D623" s="253" t="s">
        <v>116</v>
      </c>
      <c r="E623" s="254">
        <v>30000</v>
      </c>
      <c r="F623" s="254">
        <v>51.466009274174873</v>
      </c>
      <c r="G623" s="255">
        <v>582.90899999999999</v>
      </c>
      <c r="H623" s="256" t="s">
        <v>583</v>
      </c>
      <c r="I623" s="256" t="s">
        <v>1215</v>
      </c>
      <c r="J623" s="256" t="s">
        <v>97</v>
      </c>
      <c r="K623" s="269" t="s">
        <v>1903</v>
      </c>
      <c r="L623" s="256" t="s">
        <v>154</v>
      </c>
      <c r="M623" s="252"/>
      <c r="N623" s="252"/>
      <c r="O623" s="252"/>
    </row>
    <row r="624" spans="1:15" hidden="1">
      <c r="A624" s="251">
        <v>45755</v>
      </c>
      <c r="B624" s="252" t="s">
        <v>1216</v>
      </c>
      <c r="C624" s="252" t="s">
        <v>126</v>
      </c>
      <c r="D624" s="252" t="s">
        <v>119</v>
      </c>
      <c r="E624" s="254">
        <v>30000</v>
      </c>
      <c r="F624" s="254">
        <v>51.466009274174873</v>
      </c>
      <c r="G624" s="255">
        <v>582.90899999999999</v>
      </c>
      <c r="H624" s="256" t="s">
        <v>583</v>
      </c>
      <c r="I624" s="256" t="s">
        <v>1217</v>
      </c>
      <c r="J624" s="256" t="s">
        <v>97</v>
      </c>
      <c r="K624" s="269" t="s">
        <v>1903</v>
      </c>
      <c r="L624" s="256" t="s">
        <v>154</v>
      </c>
      <c r="M624" s="252"/>
      <c r="N624" s="252"/>
      <c r="O624" s="252"/>
    </row>
    <row r="625" spans="1:15" hidden="1">
      <c r="A625" s="251">
        <v>45755</v>
      </c>
      <c r="B625" s="252" t="s">
        <v>1218</v>
      </c>
      <c r="C625" s="252" t="s">
        <v>264</v>
      </c>
      <c r="D625" s="252" t="s">
        <v>2088</v>
      </c>
      <c r="E625" s="254">
        <v>30000</v>
      </c>
      <c r="F625" s="254">
        <v>51.466009274174873</v>
      </c>
      <c r="G625" s="255">
        <v>582.90899999999999</v>
      </c>
      <c r="H625" s="256" t="s">
        <v>583</v>
      </c>
      <c r="I625" s="256" t="s">
        <v>1219</v>
      </c>
      <c r="J625" s="256" t="s">
        <v>97</v>
      </c>
      <c r="K625" s="269" t="s">
        <v>1903</v>
      </c>
      <c r="L625" s="256" t="s">
        <v>154</v>
      </c>
      <c r="M625" s="252"/>
      <c r="N625" s="252"/>
      <c r="O625" s="252"/>
    </row>
    <row r="626" spans="1:15" hidden="1">
      <c r="A626" s="251">
        <v>45755</v>
      </c>
      <c r="B626" s="252" t="s">
        <v>1220</v>
      </c>
      <c r="C626" s="252" t="s">
        <v>264</v>
      </c>
      <c r="D626" s="252" t="s">
        <v>2088</v>
      </c>
      <c r="E626" s="254">
        <v>25000</v>
      </c>
      <c r="F626" s="254">
        <v>42.88834106181239</v>
      </c>
      <c r="G626" s="255">
        <v>582.90899999999999</v>
      </c>
      <c r="H626" s="256" t="s">
        <v>583</v>
      </c>
      <c r="I626" s="256" t="s">
        <v>1221</v>
      </c>
      <c r="J626" s="256" t="s">
        <v>97</v>
      </c>
      <c r="K626" s="269" t="s">
        <v>1903</v>
      </c>
      <c r="L626" s="256" t="s">
        <v>154</v>
      </c>
      <c r="M626" s="252"/>
      <c r="N626" s="252"/>
      <c r="O626" s="252"/>
    </row>
    <row r="627" spans="1:15" hidden="1">
      <c r="A627" s="251">
        <v>45755</v>
      </c>
      <c r="B627" s="252" t="s">
        <v>1222</v>
      </c>
      <c r="C627" s="252" t="s">
        <v>264</v>
      </c>
      <c r="D627" s="252" t="s">
        <v>2088</v>
      </c>
      <c r="E627" s="254">
        <v>25000</v>
      </c>
      <c r="F627" s="254">
        <v>42.88834106181239</v>
      </c>
      <c r="G627" s="255">
        <v>582.90899999999999</v>
      </c>
      <c r="H627" s="256" t="s">
        <v>583</v>
      </c>
      <c r="I627" s="256" t="s">
        <v>1223</v>
      </c>
      <c r="J627" s="256" t="s">
        <v>97</v>
      </c>
      <c r="K627" s="269" t="s">
        <v>1903</v>
      </c>
      <c r="L627" s="256" t="s">
        <v>154</v>
      </c>
      <c r="M627" s="252"/>
      <c r="N627" s="252"/>
      <c r="O627" s="252"/>
    </row>
    <row r="628" spans="1:15" hidden="1">
      <c r="A628" s="251">
        <v>45755</v>
      </c>
      <c r="B628" s="252" t="s">
        <v>1224</v>
      </c>
      <c r="C628" s="252" t="s">
        <v>264</v>
      </c>
      <c r="D628" s="252" t="s">
        <v>2088</v>
      </c>
      <c r="E628" s="254">
        <v>25000</v>
      </c>
      <c r="F628" s="254">
        <v>42.88834106181239</v>
      </c>
      <c r="G628" s="255">
        <v>582.90899999999999</v>
      </c>
      <c r="H628" s="256" t="s">
        <v>583</v>
      </c>
      <c r="I628" s="256" t="s">
        <v>1225</v>
      </c>
      <c r="J628" s="256" t="s">
        <v>97</v>
      </c>
      <c r="K628" s="269" t="s">
        <v>1903</v>
      </c>
      <c r="L628" s="256" t="s">
        <v>154</v>
      </c>
      <c r="M628" s="252"/>
      <c r="N628" s="252"/>
      <c r="O628" s="252"/>
    </row>
    <row r="629" spans="1:15" hidden="1">
      <c r="A629" s="251">
        <v>45755</v>
      </c>
      <c r="B629" s="252" t="s">
        <v>3884</v>
      </c>
      <c r="C629" s="252" t="s">
        <v>173</v>
      </c>
      <c r="D629" s="253" t="s">
        <v>442</v>
      </c>
      <c r="E629" s="254">
        <v>9000</v>
      </c>
      <c r="F629" s="254">
        <v>15.439802782252462</v>
      </c>
      <c r="G629" s="255">
        <v>582.90899999999999</v>
      </c>
      <c r="H629" s="256" t="s">
        <v>174</v>
      </c>
      <c r="I629" s="256" t="s">
        <v>1258</v>
      </c>
      <c r="J629" s="256" t="s">
        <v>97</v>
      </c>
      <c r="K629" s="269" t="s">
        <v>1903</v>
      </c>
      <c r="L629" s="256" t="s">
        <v>154</v>
      </c>
      <c r="M629" s="252"/>
      <c r="N629" s="252"/>
      <c r="O629" s="252"/>
    </row>
    <row r="630" spans="1:15" hidden="1">
      <c r="A630" s="251">
        <v>45755</v>
      </c>
      <c r="B630" s="252" t="s">
        <v>3885</v>
      </c>
      <c r="C630" s="258" t="s">
        <v>176</v>
      </c>
      <c r="D630" s="253" t="s">
        <v>442</v>
      </c>
      <c r="E630" s="254">
        <v>70000</v>
      </c>
      <c r="F630" s="254">
        <v>120.0873549730747</v>
      </c>
      <c r="G630" s="255">
        <v>582.90899999999999</v>
      </c>
      <c r="H630" s="256" t="s">
        <v>174</v>
      </c>
      <c r="I630" s="256" t="s">
        <v>1259</v>
      </c>
      <c r="J630" s="256" t="s">
        <v>97</v>
      </c>
      <c r="K630" s="269" t="s">
        <v>1903</v>
      </c>
      <c r="L630" s="256" t="s">
        <v>154</v>
      </c>
      <c r="M630" s="252"/>
      <c r="N630" s="252"/>
      <c r="O630" s="252"/>
    </row>
    <row r="631" spans="1:15" hidden="1">
      <c r="A631" s="251">
        <v>45755</v>
      </c>
      <c r="B631" s="252" t="s">
        <v>3658</v>
      </c>
      <c r="C631" s="252" t="s">
        <v>173</v>
      </c>
      <c r="D631" s="253" t="s">
        <v>442</v>
      </c>
      <c r="E631" s="254">
        <v>10000</v>
      </c>
      <c r="F631" s="254">
        <v>17.155336424724958</v>
      </c>
      <c r="G631" s="255">
        <v>582.90899999999999</v>
      </c>
      <c r="H631" s="256" t="s">
        <v>322</v>
      </c>
      <c r="I631" s="256" t="s">
        <v>1280</v>
      </c>
      <c r="J631" s="256" t="s">
        <v>97</v>
      </c>
      <c r="K631" s="269" t="s">
        <v>1903</v>
      </c>
      <c r="L631" s="256" t="s">
        <v>154</v>
      </c>
      <c r="M631" s="252"/>
      <c r="N631" s="252"/>
      <c r="O631" s="252"/>
    </row>
    <row r="632" spans="1:15" hidden="1">
      <c r="A632" s="251">
        <v>45755</v>
      </c>
      <c r="B632" s="252" t="s">
        <v>3666</v>
      </c>
      <c r="C632" s="258" t="s">
        <v>176</v>
      </c>
      <c r="D632" s="253" t="s">
        <v>442</v>
      </c>
      <c r="E632" s="254">
        <v>70000</v>
      </c>
      <c r="F632" s="254">
        <v>120.0873549730747</v>
      </c>
      <c r="G632" s="255">
        <v>582.90899999999999</v>
      </c>
      <c r="H632" s="256" t="s">
        <v>322</v>
      </c>
      <c r="I632" s="256" t="s">
        <v>1281</v>
      </c>
      <c r="J632" s="256" t="s">
        <v>97</v>
      </c>
      <c r="K632" s="269" t="s">
        <v>1903</v>
      </c>
      <c r="L632" s="256" t="s">
        <v>154</v>
      </c>
      <c r="M632" s="252"/>
      <c r="N632" s="252"/>
      <c r="O632" s="252"/>
    </row>
    <row r="633" spans="1:15" hidden="1">
      <c r="A633" s="251">
        <v>45755</v>
      </c>
      <c r="B633" s="252" t="s">
        <v>1296</v>
      </c>
      <c r="C633" s="252" t="s">
        <v>173</v>
      </c>
      <c r="D633" s="253" t="s">
        <v>116</v>
      </c>
      <c r="E633" s="254">
        <v>12000</v>
      </c>
      <c r="F633" s="254">
        <v>20.586403709669948</v>
      </c>
      <c r="G633" s="255">
        <v>582.90899999999999</v>
      </c>
      <c r="H633" s="256" t="s">
        <v>186</v>
      </c>
      <c r="I633" s="256" t="s">
        <v>1297</v>
      </c>
      <c r="J633" s="256" t="s">
        <v>97</v>
      </c>
      <c r="K633" s="269" t="s">
        <v>1903</v>
      </c>
      <c r="L633" s="256" t="s">
        <v>154</v>
      </c>
      <c r="M633" s="252"/>
      <c r="N633" s="252"/>
      <c r="O633" s="252"/>
    </row>
    <row r="634" spans="1:15" hidden="1">
      <c r="A634" s="251">
        <v>45755</v>
      </c>
      <c r="B634" s="252" t="s">
        <v>798</v>
      </c>
      <c r="C634" s="259" t="s">
        <v>2087</v>
      </c>
      <c r="D634" s="252" t="s">
        <v>117</v>
      </c>
      <c r="E634" s="254">
        <v>4363</v>
      </c>
      <c r="F634" s="254">
        <v>7.4848732821074986</v>
      </c>
      <c r="G634" s="255">
        <v>582.90899999999999</v>
      </c>
      <c r="H634" s="256" t="s">
        <v>192</v>
      </c>
      <c r="I634" s="256" t="s">
        <v>1346</v>
      </c>
      <c r="J634" s="256" t="s">
        <v>97</v>
      </c>
      <c r="K634" s="269" t="s">
        <v>1903</v>
      </c>
      <c r="L634" s="256" t="s">
        <v>154</v>
      </c>
      <c r="M634" s="252"/>
      <c r="N634" s="252"/>
      <c r="O634" s="252"/>
    </row>
    <row r="635" spans="1:15" hidden="1">
      <c r="A635" s="251">
        <v>45755</v>
      </c>
      <c r="B635" s="252" t="s">
        <v>771</v>
      </c>
      <c r="C635" s="259" t="s">
        <v>2087</v>
      </c>
      <c r="D635" s="252" t="s">
        <v>117</v>
      </c>
      <c r="E635" s="254">
        <v>12600</v>
      </c>
      <c r="F635" s="254">
        <v>21.615723895153447</v>
      </c>
      <c r="G635" s="255">
        <v>582.90899999999999</v>
      </c>
      <c r="H635" s="256" t="s">
        <v>192</v>
      </c>
      <c r="I635" s="256" t="s">
        <v>1347</v>
      </c>
      <c r="J635" s="256" t="s">
        <v>97</v>
      </c>
      <c r="K635" s="269" t="s">
        <v>1903</v>
      </c>
      <c r="L635" s="256" t="s">
        <v>154</v>
      </c>
      <c r="M635" s="252"/>
      <c r="N635" s="252"/>
      <c r="O635" s="252"/>
    </row>
    <row r="636" spans="1:15" hidden="1">
      <c r="A636" s="251">
        <v>45755</v>
      </c>
      <c r="B636" s="252" t="s">
        <v>1385</v>
      </c>
      <c r="C636" s="252" t="s">
        <v>195</v>
      </c>
      <c r="D636" s="253" t="s">
        <v>116</v>
      </c>
      <c r="E636" s="254">
        <v>12000</v>
      </c>
      <c r="F636" s="254">
        <v>20.586403709669948</v>
      </c>
      <c r="G636" s="255">
        <v>582.90899999999999</v>
      </c>
      <c r="H636" s="256" t="s">
        <v>196</v>
      </c>
      <c r="I636" s="256" t="s">
        <v>1386</v>
      </c>
      <c r="J636" s="256" t="s">
        <v>97</v>
      </c>
      <c r="K636" s="269" t="s">
        <v>1903</v>
      </c>
      <c r="L636" s="256" t="s">
        <v>154</v>
      </c>
      <c r="M636" s="252"/>
      <c r="N636" s="252"/>
      <c r="O636" s="252"/>
    </row>
    <row r="637" spans="1:15" hidden="1">
      <c r="A637" s="251">
        <v>45755</v>
      </c>
      <c r="B637" s="252" t="s">
        <v>1424</v>
      </c>
      <c r="C637" s="252" t="s">
        <v>122</v>
      </c>
      <c r="D637" s="253" t="s">
        <v>116</v>
      </c>
      <c r="E637" s="254">
        <v>150000</v>
      </c>
      <c r="F637" s="254">
        <v>257.33004637087436</v>
      </c>
      <c r="G637" s="264">
        <v>579.64599999999996</v>
      </c>
      <c r="H637" s="256" t="s">
        <v>147</v>
      </c>
      <c r="I637" s="256" t="s">
        <v>1443</v>
      </c>
      <c r="J637" s="256" t="s">
        <v>97</v>
      </c>
      <c r="K637" s="272" t="s">
        <v>201</v>
      </c>
      <c r="L637" s="256" t="s">
        <v>154</v>
      </c>
      <c r="M637" s="252"/>
      <c r="N637" s="252"/>
      <c r="O637" s="252"/>
    </row>
    <row r="638" spans="1:15" hidden="1">
      <c r="A638" s="251">
        <v>45755</v>
      </c>
      <c r="B638" s="252" t="s">
        <v>1425</v>
      </c>
      <c r="C638" s="252" t="s">
        <v>122</v>
      </c>
      <c r="D638" s="253" t="s">
        <v>116</v>
      </c>
      <c r="E638" s="254">
        <v>200000</v>
      </c>
      <c r="F638" s="254">
        <v>343.10672849449912</v>
      </c>
      <c r="G638" s="264">
        <v>579.64599999999996</v>
      </c>
      <c r="H638" s="256" t="s">
        <v>147</v>
      </c>
      <c r="I638" s="256" t="s">
        <v>1444</v>
      </c>
      <c r="J638" s="256" t="s">
        <v>97</v>
      </c>
      <c r="K638" s="272" t="s">
        <v>201</v>
      </c>
      <c r="L638" s="256" t="s">
        <v>154</v>
      </c>
      <c r="M638" s="252"/>
      <c r="N638" s="252"/>
      <c r="O638" s="252"/>
    </row>
    <row r="639" spans="1:15" hidden="1">
      <c r="A639" s="251">
        <v>45756</v>
      </c>
      <c r="B639" s="252" t="s">
        <v>1226</v>
      </c>
      <c r="C639" s="252" t="s">
        <v>126</v>
      </c>
      <c r="D639" s="252" t="s">
        <v>117</v>
      </c>
      <c r="E639" s="254">
        <v>31500</v>
      </c>
      <c r="F639" s="254">
        <v>54.039309737883613</v>
      </c>
      <c r="G639" s="255">
        <v>582.90899999999999</v>
      </c>
      <c r="H639" s="256" t="s">
        <v>583</v>
      </c>
      <c r="I639" s="256" t="s">
        <v>1227</v>
      </c>
      <c r="J639" s="256" t="s">
        <v>97</v>
      </c>
      <c r="K639" s="269" t="s">
        <v>1903</v>
      </c>
      <c r="L639" s="256" t="s">
        <v>154</v>
      </c>
      <c r="M639" s="252"/>
      <c r="N639" s="252"/>
      <c r="O639" s="252"/>
    </row>
    <row r="640" spans="1:15" hidden="1">
      <c r="A640" s="251">
        <v>45756</v>
      </c>
      <c r="B640" s="252" t="s">
        <v>1483</v>
      </c>
      <c r="C640" s="258" t="s">
        <v>176</v>
      </c>
      <c r="D640" s="253" t="s">
        <v>116</v>
      </c>
      <c r="E640" s="254">
        <v>90000</v>
      </c>
      <c r="F640" s="254">
        <v>154.39802782252463</v>
      </c>
      <c r="G640" s="255">
        <v>582.90899999999999</v>
      </c>
      <c r="H640" s="256" t="s">
        <v>186</v>
      </c>
      <c r="I640" s="256" t="s">
        <v>1298</v>
      </c>
      <c r="J640" s="256" t="s">
        <v>97</v>
      </c>
      <c r="K640" s="269" t="s">
        <v>1903</v>
      </c>
      <c r="L640" s="256" t="s">
        <v>154</v>
      </c>
      <c r="M640" s="252"/>
      <c r="N640" s="252"/>
      <c r="O640" s="252"/>
    </row>
    <row r="641" spans="1:15" hidden="1">
      <c r="A641" s="251">
        <v>45756</v>
      </c>
      <c r="B641" s="252" t="s">
        <v>550</v>
      </c>
      <c r="C641" s="258" t="s">
        <v>1164</v>
      </c>
      <c r="D641" s="252" t="s">
        <v>117</v>
      </c>
      <c r="E641" s="254">
        <v>25000</v>
      </c>
      <c r="F641" s="254">
        <v>42.88834106181239</v>
      </c>
      <c r="G641" s="255">
        <v>582.90899999999999</v>
      </c>
      <c r="H641" s="256" t="s">
        <v>189</v>
      </c>
      <c r="I641" s="256" t="s">
        <v>1319</v>
      </c>
      <c r="J641" s="256" t="s">
        <v>97</v>
      </c>
      <c r="K641" s="269" t="s">
        <v>1903</v>
      </c>
      <c r="L641" s="256" t="s">
        <v>154</v>
      </c>
      <c r="M641" s="252"/>
      <c r="N641" s="252"/>
      <c r="O641" s="252"/>
    </row>
    <row r="642" spans="1:15" hidden="1">
      <c r="A642" s="251">
        <v>45756</v>
      </c>
      <c r="B642" s="252" t="s">
        <v>1320</v>
      </c>
      <c r="C642" s="252" t="s">
        <v>173</v>
      </c>
      <c r="D642" s="253" t="s">
        <v>116</v>
      </c>
      <c r="E642" s="254">
        <v>36000</v>
      </c>
      <c r="F642" s="254">
        <v>61.759211129009849</v>
      </c>
      <c r="G642" s="255">
        <v>582.90899999999999</v>
      </c>
      <c r="H642" s="256" t="s">
        <v>189</v>
      </c>
      <c r="I642" s="256" t="s">
        <v>1321</v>
      </c>
      <c r="J642" s="256" t="s">
        <v>97</v>
      </c>
      <c r="K642" s="269" t="s">
        <v>1903</v>
      </c>
      <c r="L642" s="256" t="s">
        <v>154</v>
      </c>
      <c r="M642" s="252"/>
      <c r="N642" s="252"/>
      <c r="O642" s="252"/>
    </row>
    <row r="643" spans="1:15" hidden="1">
      <c r="A643" s="251">
        <v>45756</v>
      </c>
      <c r="B643" s="252" t="s">
        <v>1482</v>
      </c>
      <c r="C643" s="258" t="s">
        <v>176</v>
      </c>
      <c r="D643" s="253" t="s">
        <v>116</v>
      </c>
      <c r="E643" s="254">
        <v>50000</v>
      </c>
      <c r="F643" s="254">
        <v>85.776682123624781</v>
      </c>
      <c r="G643" s="255">
        <v>582.90899999999999</v>
      </c>
      <c r="H643" s="256" t="s">
        <v>189</v>
      </c>
      <c r="I643" s="256" t="s">
        <v>1322</v>
      </c>
      <c r="J643" s="256" t="s">
        <v>97</v>
      </c>
      <c r="K643" s="269" t="s">
        <v>1903</v>
      </c>
      <c r="L643" s="256" t="s">
        <v>154</v>
      </c>
      <c r="M643" s="252"/>
      <c r="N643" s="252"/>
      <c r="O643" s="252"/>
    </row>
    <row r="644" spans="1:15" hidden="1">
      <c r="A644" s="251">
        <v>45756</v>
      </c>
      <c r="B644" s="252" t="s">
        <v>1348</v>
      </c>
      <c r="C644" s="252" t="s">
        <v>173</v>
      </c>
      <c r="D644" s="253" t="s">
        <v>116</v>
      </c>
      <c r="E644" s="254">
        <v>8000</v>
      </c>
      <c r="F644" s="254">
        <v>13.724269139779965</v>
      </c>
      <c r="G644" s="255">
        <v>582.90899999999999</v>
      </c>
      <c r="H644" s="256" t="s">
        <v>192</v>
      </c>
      <c r="I644" s="256" t="s">
        <v>1349</v>
      </c>
      <c r="J644" s="256" t="s">
        <v>97</v>
      </c>
      <c r="K644" s="269" t="s">
        <v>1903</v>
      </c>
      <c r="L644" s="256" t="s">
        <v>154</v>
      </c>
      <c r="M644" s="252"/>
      <c r="N644" s="252"/>
      <c r="O644" s="252"/>
    </row>
    <row r="645" spans="1:15" hidden="1">
      <c r="A645" s="251">
        <v>45756</v>
      </c>
      <c r="B645" s="252" t="s">
        <v>1387</v>
      </c>
      <c r="C645" s="258" t="s">
        <v>176</v>
      </c>
      <c r="D645" s="253" t="s">
        <v>116</v>
      </c>
      <c r="E645" s="254">
        <v>90000</v>
      </c>
      <c r="F645" s="254">
        <v>154.39802782252463</v>
      </c>
      <c r="G645" s="255">
        <v>582.90899999999999</v>
      </c>
      <c r="H645" s="256" t="s">
        <v>196</v>
      </c>
      <c r="I645" s="256" t="s">
        <v>1388</v>
      </c>
      <c r="J645" s="256" t="s">
        <v>97</v>
      </c>
      <c r="K645" s="269" t="s">
        <v>1903</v>
      </c>
      <c r="L645" s="256" t="s">
        <v>154</v>
      </c>
      <c r="M645" s="252"/>
      <c r="N645" s="252"/>
      <c r="O645" s="252"/>
    </row>
    <row r="646" spans="1:15" hidden="1">
      <c r="A646" s="251">
        <v>45757</v>
      </c>
      <c r="B646" s="252" t="s">
        <v>1173</v>
      </c>
      <c r="C646" s="252" t="s">
        <v>173</v>
      </c>
      <c r="D646" s="253" t="s">
        <v>116</v>
      </c>
      <c r="E646" s="254">
        <v>7000</v>
      </c>
      <c r="F646" s="254">
        <v>12.00873549730747</v>
      </c>
      <c r="G646" s="255">
        <v>582.90899999999999</v>
      </c>
      <c r="H646" s="256" t="s">
        <v>199</v>
      </c>
      <c r="I646" s="256" t="s">
        <v>1174</v>
      </c>
      <c r="J646" s="256" t="s">
        <v>97</v>
      </c>
      <c r="K646" s="269" t="s">
        <v>1903</v>
      </c>
      <c r="L646" s="256" t="s">
        <v>154</v>
      </c>
      <c r="M646" s="252"/>
      <c r="N646" s="252"/>
      <c r="O646" s="252"/>
    </row>
    <row r="647" spans="1:15" hidden="1">
      <c r="A647" s="251">
        <v>45757</v>
      </c>
      <c r="B647" s="252" t="s">
        <v>1299</v>
      </c>
      <c r="C647" s="252" t="s">
        <v>312</v>
      </c>
      <c r="D647" s="253" t="s">
        <v>116</v>
      </c>
      <c r="E647" s="254">
        <v>2000</v>
      </c>
      <c r="F647" s="254">
        <v>3.4310672849449912</v>
      </c>
      <c r="G647" s="255">
        <v>582.90899999999999</v>
      </c>
      <c r="H647" s="256" t="s">
        <v>186</v>
      </c>
      <c r="I647" s="256" t="s">
        <v>1300</v>
      </c>
      <c r="J647" s="256" t="s">
        <v>97</v>
      </c>
      <c r="K647" s="269" t="s">
        <v>1903</v>
      </c>
      <c r="L647" s="256" t="s">
        <v>154</v>
      </c>
      <c r="M647" s="252"/>
      <c r="N647" s="252"/>
      <c r="O647" s="252"/>
    </row>
    <row r="648" spans="1:15" hidden="1">
      <c r="A648" s="251">
        <v>45757</v>
      </c>
      <c r="B648" s="252" t="s">
        <v>1301</v>
      </c>
      <c r="C648" s="252" t="s">
        <v>173</v>
      </c>
      <c r="D648" s="253" t="s">
        <v>116</v>
      </c>
      <c r="E648" s="254">
        <v>7000</v>
      </c>
      <c r="F648" s="254">
        <v>12.00873549730747</v>
      </c>
      <c r="G648" s="255">
        <v>582.90899999999999</v>
      </c>
      <c r="H648" s="256" t="s">
        <v>186</v>
      </c>
      <c r="I648" s="256" t="s">
        <v>1302</v>
      </c>
      <c r="J648" s="256" t="s">
        <v>97</v>
      </c>
      <c r="K648" s="269" t="s">
        <v>1903</v>
      </c>
      <c r="L648" s="256" t="s">
        <v>154</v>
      </c>
      <c r="M648" s="252"/>
      <c r="N648" s="252"/>
      <c r="O648" s="252"/>
    </row>
    <row r="649" spans="1:15" hidden="1">
      <c r="A649" s="251">
        <v>45757</v>
      </c>
      <c r="B649" s="252" t="s">
        <v>1350</v>
      </c>
      <c r="C649" s="252" t="s">
        <v>173</v>
      </c>
      <c r="D649" s="253" t="s">
        <v>116</v>
      </c>
      <c r="E649" s="254">
        <v>4000</v>
      </c>
      <c r="F649" s="254">
        <v>6.8621345698899825</v>
      </c>
      <c r="G649" s="255">
        <v>582.90899999999999</v>
      </c>
      <c r="H649" s="256" t="s">
        <v>192</v>
      </c>
      <c r="I649" s="256" t="s">
        <v>1351</v>
      </c>
      <c r="J649" s="256" t="s">
        <v>97</v>
      </c>
      <c r="K649" s="269" t="s">
        <v>1903</v>
      </c>
      <c r="L649" s="256" t="s">
        <v>154</v>
      </c>
      <c r="M649" s="252"/>
      <c r="N649" s="252"/>
      <c r="O649" s="252"/>
    </row>
    <row r="650" spans="1:15" hidden="1">
      <c r="A650" s="251">
        <v>45757</v>
      </c>
      <c r="B650" s="252" t="s">
        <v>1491</v>
      </c>
      <c r="C650" s="258" t="s">
        <v>176</v>
      </c>
      <c r="D650" s="253" t="s">
        <v>116</v>
      </c>
      <c r="E650" s="254">
        <v>80000</v>
      </c>
      <c r="F650" s="254">
        <v>137.24269139779966</v>
      </c>
      <c r="G650" s="255">
        <v>582.90899999999999</v>
      </c>
      <c r="H650" s="256" t="s">
        <v>192</v>
      </c>
      <c r="I650" s="256" t="s">
        <v>1352</v>
      </c>
      <c r="J650" s="256" t="s">
        <v>97</v>
      </c>
      <c r="K650" s="269" t="s">
        <v>1903</v>
      </c>
      <c r="L650" s="256" t="s">
        <v>154</v>
      </c>
      <c r="M650" s="252"/>
      <c r="N650" s="252"/>
      <c r="O650" s="252"/>
    </row>
    <row r="651" spans="1:15" hidden="1">
      <c r="A651" s="251">
        <v>45757</v>
      </c>
      <c r="B651" s="252" t="s">
        <v>1389</v>
      </c>
      <c r="C651" s="252" t="s">
        <v>195</v>
      </c>
      <c r="D651" s="253" t="s">
        <v>116</v>
      </c>
      <c r="E651" s="254">
        <v>7000</v>
      </c>
      <c r="F651" s="254">
        <v>12.00873549730747</v>
      </c>
      <c r="G651" s="255">
        <v>582.90899999999999</v>
      </c>
      <c r="H651" s="256" t="s">
        <v>196</v>
      </c>
      <c r="I651" s="256" t="s">
        <v>1390</v>
      </c>
      <c r="J651" s="256" t="s">
        <v>97</v>
      </c>
      <c r="K651" s="269" t="s">
        <v>1903</v>
      </c>
      <c r="L651" s="256" t="s">
        <v>154</v>
      </c>
      <c r="M651" s="252"/>
      <c r="N651" s="252"/>
      <c r="O651" s="252"/>
    </row>
    <row r="652" spans="1:15" hidden="1">
      <c r="A652" s="251">
        <v>45757</v>
      </c>
      <c r="B652" s="252" t="s">
        <v>1407</v>
      </c>
      <c r="C652" s="252" t="s">
        <v>173</v>
      </c>
      <c r="D652" s="252" t="s">
        <v>119</v>
      </c>
      <c r="E652" s="254">
        <v>7000</v>
      </c>
      <c r="F652" s="254">
        <v>12.00873549730747</v>
      </c>
      <c r="G652" s="255">
        <v>582.90899999999999</v>
      </c>
      <c r="H652" s="256" t="s">
        <v>212</v>
      </c>
      <c r="I652" s="256" t="s">
        <v>1408</v>
      </c>
      <c r="J652" s="256" t="s">
        <v>97</v>
      </c>
      <c r="K652" s="269" t="s">
        <v>1903</v>
      </c>
      <c r="L652" s="256" t="s">
        <v>154</v>
      </c>
      <c r="M652" s="252"/>
      <c r="N652" s="252"/>
      <c r="O652" s="252"/>
    </row>
    <row r="653" spans="1:15" hidden="1">
      <c r="A653" s="251">
        <v>45757</v>
      </c>
      <c r="B653" s="252" t="s">
        <v>771</v>
      </c>
      <c r="C653" s="259" t="s">
        <v>2087</v>
      </c>
      <c r="D653" s="252" t="s">
        <v>117</v>
      </c>
      <c r="E653" s="254">
        <v>5130</v>
      </c>
      <c r="F653" s="254">
        <v>8.8006875858839031</v>
      </c>
      <c r="G653" s="255">
        <v>582.90899999999999</v>
      </c>
      <c r="H653" s="256" t="s">
        <v>212</v>
      </c>
      <c r="I653" s="256" t="s">
        <v>1417</v>
      </c>
      <c r="J653" s="256" t="s">
        <v>97</v>
      </c>
      <c r="K653" s="269" t="s">
        <v>1903</v>
      </c>
      <c r="L653" s="256" t="s">
        <v>154</v>
      </c>
      <c r="M653" s="252"/>
      <c r="N653" s="252"/>
      <c r="O653" s="252"/>
    </row>
    <row r="654" spans="1:15" hidden="1">
      <c r="A654" s="251">
        <v>45758</v>
      </c>
      <c r="B654" s="252" t="s">
        <v>1175</v>
      </c>
      <c r="C654" s="258" t="s">
        <v>176</v>
      </c>
      <c r="D654" s="253" t="s">
        <v>116</v>
      </c>
      <c r="E654" s="254">
        <v>70000</v>
      </c>
      <c r="F654" s="254">
        <v>120.0873549730747</v>
      </c>
      <c r="G654" s="255">
        <v>582.90899999999999</v>
      </c>
      <c r="H654" s="256" t="s">
        <v>199</v>
      </c>
      <c r="I654" s="256" t="s">
        <v>1176</v>
      </c>
      <c r="J654" s="256" t="s">
        <v>97</v>
      </c>
      <c r="K654" s="269" t="s">
        <v>1903</v>
      </c>
      <c r="L654" s="256" t="s">
        <v>154</v>
      </c>
      <c r="M654" s="252"/>
      <c r="N654" s="252"/>
      <c r="O654" s="252"/>
    </row>
    <row r="655" spans="1:15" hidden="1">
      <c r="A655" s="251">
        <v>45758</v>
      </c>
      <c r="B655" s="252" t="s">
        <v>598</v>
      </c>
      <c r="C655" s="252" t="s">
        <v>151</v>
      </c>
      <c r="D655" s="253" t="s">
        <v>442</v>
      </c>
      <c r="E655" s="254">
        <v>15000</v>
      </c>
      <c r="F655" s="254">
        <v>25.733004637087436</v>
      </c>
      <c r="G655" s="255">
        <v>582.90899999999999</v>
      </c>
      <c r="H655" s="256" t="s">
        <v>583</v>
      </c>
      <c r="I655" s="256" t="s">
        <v>1228</v>
      </c>
      <c r="J655" s="256" t="s">
        <v>97</v>
      </c>
      <c r="K655" s="269" t="s">
        <v>1903</v>
      </c>
      <c r="L655" s="256" t="s">
        <v>154</v>
      </c>
      <c r="M655" s="252"/>
      <c r="N655" s="252"/>
      <c r="O655" s="252"/>
    </row>
    <row r="656" spans="1:15" hidden="1">
      <c r="A656" s="251">
        <v>45758</v>
      </c>
      <c r="B656" s="252" t="s">
        <v>3871</v>
      </c>
      <c r="C656" s="258" t="s">
        <v>176</v>
      </c>
      <c r="D656" s="253" t="s">
        <v>442</v>
      </c>
      <c r="E656" s="254">
        <v>45000</v>
      </c>
      <c r="F656" s="254">
        <v>77.199013911262313</v>
      </c>
      <c r="G656" s="255">
        <v>582.90899999999999</v>
      </c>
      <c r="H656" s="256" t="s">
        <v>174</v>
      </c>
      <c r="I656" s="256" t="s">
        <v>1260</v>
      </c>
      <c r="J656" s="256" t="s">
        <v>97</v>
      </c>
      <c r="K656" s="269" t="s">
        <v>1903</v>
      </c>
      <c r="L656" s="256" t="s">
        <v>154</v>
      </c>
      <c r="M656" s="252"/>
      <c r="N656" s="252"/>
      <c r="O656" s="252"/>
    </row>
    <row r="657" spans="1:15" hidden="1">
      <c r="A657" s="251">
        <v>45758</v>
      </c>
      <c r="B657" s="252" t="s">
        <v>3884</v>
      </c>
      <c r="C657" s="252" t="s">
        <v>173</v>
      </c>
      <c r="D657" s="253" t="s">
        <v>442</v>
      </c>
      <c r="E657" s="254">
        <v>8000</v>
      </c>
      <c r="F657" s="254">
        <v>13.724269139779965</v>
      </c>
      <c r="G657" s="255">
        <v>582.90899999999999</v>
      </c>
      <c r="H657" s="256" t="s">
        <v>174</v>
      </c>
      <c r="I657" s="256" t="s">
        <v>1261</v>
      </c>
      <c r="J657" s="256" t="s">
        <v>97</v>
      </c>
      <c r="K657" s="269" t="s">
        <v>1903</v>
      </c>
      <c r="L657" s="256" t="s">
        <v>154</v>
      </c>
      <c r="M657" s="252"/>
      <c r="N657" s="252"/>
      <c r="O657" s="252"/>
    </row>
    <row r="658" spans="1:15" hidden="1">
      <c r="A658" s="251">
        <v>45758</v>
      </c>
      <c r="B658" s="252" t="s">
        <v>3667</v>
      </c>
      <c r="C658" s="258" t="s">
        <v>176</v>
      </c>
      <c r="D658" s="253" t="s">
        <v>442</v>
      </c>
      <c r="E658" s="254">
        <v>45000</v>
      </c>
      <c r="F658" s="254">
        <v>77.199013911262313</v>
      </c>
      <c r="G658" s="255">
        <v>582.90899999999999</v>
      </c>
      <c r="H658" s="256" t="s">
        <v>322</v>
      </c>
      <c r="I658" s="256" t="s">
        <v>1282</v>
      </c>
      <c r="J658" s="256" t="s">
        <v>97</v>
      </c>
      <c r="K658" s="269" t="s">
        <v>1903</v>
      </c>
      <c r="L658" s="256" t="s">
        <v>154</v>
      </c>
      <c r="M658" s="252"/>
      <c r="N658" s="252"/>
      <c r="O658" s="252"/>
    </row>
    <row r="659" spans="1:15" hidden="1">
      <c r="A659" s="251">
        <v>45758</v>
      </c>
      <c r="B659" s="252" t="s">
        <v>3658</v>
      </c>
      <c r="C659" s="252" t="s">
        <v>173</v>
      </c>
      <c r="D659" s="253" t="s">
        <v>442</v>
      </c>
      <c r="E659" s="254">
        <v>5000</v>
      </c>
      <c r="F659" s="254">
        <v>8.5776682123624788</v>
      </c>
      <c r="G659" s="255">
        <v>582.90899999999999</v>
      </c>
      <c r="H659" s="256" t="s">
        <v>322</v>
      </c>
      <c r="I659" s="256" t="s">
        <v>1283</v>
      </c>
      <c r="J659" s="256" t="s">
        <v>97</v>
      </c>
      <c r="K659" s="269" t="s">
        <v>1903</v>
      </c>
      <c r="L659" s="256" t="s">
        <v>154</v>
      </c>
      <c r="M659" s="252"/>
      <c r="N659" s="252"/>
      <c r="O659" s="252"/>
    </row>
    <row r="660" spans="1:15" hidden="1">
      <c r="A660" s="251">
        <v>45758</v>
      </c>
      <c r="B660" s="252" t="s">
        <v>1484</v>
      </c>
      <c r="C660" s="258" t="s">
        <v>176</v>
      </c>
      <c r="D660" s="253" t="s">
        <v>116</v>
      </c>
      <c r="E660" s="254">
        <v>30000</v>
      </c>
      <c r="F660" s="254">
        <v>51.466009274174873</v>
      </c>
      <c r="G660" s="255">
        <v>582.90899999999999</v>
      </c>
      <c r="H660" s="256" t="s">
        <v>186</v>
      </c>
      <c r="I660" s="256" t="s">
        <v>1303</v>
      </c>
      <c r="J660" s="256" t="s">
        <v>97</v>
      </c>
      <c r="K660" s="269" t="s">
        <v>1903</v>
      </c>
      <c r="L660" s="256" t="s">
        <v>154</v>
      </c>
      <c r="M660" s="252"/>
      <c r="N660" s="252"/>
      <c r="O660" s="252"/>
    </row>
    <row r="661" spans="1:15" hidden="1">
      <c r="A661" s="251">
        <v>45758</v>
      </c>
      <c r="B661" s="252" t="s">
        <v>1323</v>
      </c>
      <c r="C661" s="259" t="s">
        <v>2087</v>
      </c>
      <c r="D661" s="252" t="s">
        <v>117</v>
      </c>
      <c r="E661" s="254">
        <v>14710</v>
      </c>
      <c r="F661" s="254">
        <v>25.235499880770412</v>
      </c>
      <c r="G661" s="255">
        <v>582.90899999999999</v>
      </c>
      <c r="H661" s="256" t="s">
        <v>189</v>
      </c>
      <c r="I661" s="256" t="s">
        <v>1324</v>
      </c>
      <c r="J661" s="256" t="s">
        <v>97</v>
      </c>
      <c r="K661" s="269" t="s">
        <v>1903</v>
      </c>
      <c r="L661" s="256" t="s">
        <v>154</v>
      </c>
      <c r="M661" s="252"/>
      <c r="N661" s="252"/>
      <c r="O661" s="252"/>
    </row>
    <row r="662" spans="1:15" hidden="1">
      <c r="A662" s="251">
        <v>45758</v>
      </c>
      <c r="B662" s="252" t="s">
        <v>1353</v>
      </c>
      <c r="C662" s="252" t="s">
        <v>312</v>
      </c>
      <c r="D662" s="253" t="s">
        <v>116</v>
      </c>
      <c r="E662" s="254">
        <v>6000</v>
      </c>
      <c r="F662" s="254">
        <v>10.293201854834974</v>
      </c>
      <c r="G662" s="255">
        <v>582.90899999999999</v>
      </c>
      <c r="H662" s="256" t="s">
        <v>192</v>
      </c>
      <c r="I662" s="256" t="s">
        <v>1354</v>
      </c>
      <c r="J662" s="256" t="s">
        <v>97</v>
      </c>
      <c r="K662" s="269" t="s">
        <v>1903</v>
      </c>
      <c r="L662" s="256" t="s">
        <v>154</v>
      </c>
      <c r="M662" s="252"/>
      <c r="N662" s="252"/>
      <c r="O662" s="252"/>
    </row>
    <row r="663" spans="1:15" hidden="1">
      <c r="A663" s="251">
        <v>45758</v>
      </c>
      <c r="B663" s="252" t="s">
        <v>1391</v>
      </c>
      <c r="C663" s="258" t="s">
        <v>176</v>
      </c>
      <c r="D663" s="253" t="s">
        <v>116</v>
      </c>
      <c r="E663" s="254">
        <v>30000</v>
      </c>
      <c r="F663" s="254">
        <v>51.466009274174873</v>
      </c>
      <c r="G663" s="255">
        <v>582.90899999999999</v>
      </c>
      <c r="H663" s="256" t="s">
        <v>196</v>
      </c>
      <c r="I663" s="256" t="s">
        <v>1392</v>
      </c>
      <c r="J663" s="256" t="s">
        <v>97</v>
      </c>
      <c r="K663" s="269" t="s">
        <v>1903</v>
      </c>
      <c r="L663" s="256" t="s">
        <v>154</v>
      </c>
      <c r="M663" s="252"/>
      <c r="N663" s="252"/>
      <c r="O663" s="252"/>
    </row>
    <row r="664" spans="1:15" hidden="1">
      <c r="A664" s="251">
        <v>45758</v>
      </c>
      <c r="B664" s="252" t="s">
        <v>1486</v>
      </c>
      <c r="C664" s="258" t="s">
        <v>176</v>
      </c>
      <c r="D664" s="252" t="s">
        <v>119</v>
      </c>
      <c r="E664" s="254">
        <v>70000</v>
      </c>
      <c r="F664" s="254">
        <v>120.0873549730747</v>
      </c>
      <c r="G664" s="255">
        <v>582.90899999999999</v>
      </c>
      <c r="H664" s="256" t="s">
        <v>212</v>
      </c>
      <c r="I664" s="256" t="s">
        <v>1409</v>
      </c>
      <c r="J664" s="256" t="s">
        <v>97</v>
      </c>
      <c r="K664" s="269" t="s">
        <v>1903</v>
      </c>
      <c r="L664" s="256" t="s">
        <v>154</v>
      </c>
      <c r="M664" s="252"/>
      <c r="N664" s="252"/>
      <c r="O664" s="252"/>
    </row>
    <row r="665" spans="1:15" hidden="1">
      <c r="A665" s="251">
        <v>45759</v>
      </c>
      <c r="B665" s="252" t="s">
        <v>1494</v>
      </c>
      <c r="C665" s="258" t="s">
        <v>176</v>
      </c>
      <c r="D665" s="253" t="s">
        <v>116</v>
      </c>
      <c r="E665" s="254">
        <v>30000</v>
      </c>
      <c r="F665" s="254">
        <v>51.466009274174873</v>
      </c>
      <c r="G665" s="255">
        <v>582.90899999999999</v>
      </c>
      <c r="H665" s="256" t="s">
        <v>192</v>
      </c>
      <c r="I665" s="256" t="s">
        <v>1355</v>
      </c>
      <c r="J665" s="256" t="s">
        <v>97</v>
      </c>
      <c r="K665" s="269" t="s">
        <v>1903</v>
      </c>
      <c r="L665" s="256" t="s">
        <v>154</v>
      </c>
      <c r="M665" s="252"/>
      <c r="N665" s="252"/>
      <c r="O665" s="252"/>
    </row>
    <row r="666" spans="1:15" hidden="1">
      <c r="A666" s="251">
        <v>45759</v>
      </c>
      <c r="B666" s="252" t="s">
        <v>1356</v>
      </c>
      <c r="C666" s="252" t="s">
        <v>173</v>
      </c>
      <c r="D666" s="253" t="s">
        <v>116</v>
      </c>
      <c r="E666" s="254">
        <v>5000</v>
      </c>
      <c r="F666" s="254">
        <v>8.5776682123624788</v>
      </c>
      <c r="G666" s="255">
        <v>582.90899999999999</v>
      </c>
      <c r="H666" s="256" t="s">
        <v>192</v>
      </c>
      <c r="I666" s="256" t="s">
        <v>1357</v>
      </c>
      <c r="J666" s="256" t="s">
        <v>97</v>
      </c>
      <c r="K666" s="269" t="s">
        <v>1903</v>
      </c>
      <c r="L666" s="256" t="s">
        <v>154</v>
      </c>
      <c r="M666" s="252"/>
      <c r="N666" s="252"/>
      <c r="O666" s="252"/>
    </row>
    <row r="667" spans="1:15" hidden="1">
      <c r="A667" s="251">
        <v>45759</v>
      </c>
      <c r="B667" s="252" t="s">
        <v>1358</v>
      </c>
      <c r="C667" s="252" t="s">
        <v>173</v>
      </c>
      <c r="D667" s="253" t="s">
        <v>116</v>
      </c>
      <c r="E667" s="254">
        <v>2000</v>
      </c>
      <c r="F667" s="254">
        <v>3.4310672849449912</v>
      </c>
      <c r="G667" s="255">
        <v>582.90899999999999</v>
      </c>
      <c r="H667" s="256" t="s">
        <v>192</v>
      </c>
      <c r="I667" s="256" t="s">
        <v>1359</v>
      </c>
      <c r="J667" s="256" t="s">
        <v>97</v>
      </c>
      <c r="K667" s="269" t="s">
        <v>1903</v>
      </c>
      <c r="L667" s="256" t="s">
        <v>154</v>
      </c>
      <c r="M667" s="252"/>
      <c r="N667" s="252"/>
      <c r="O667" s="252"/>
    </row>
    <row r="668" spans="1:15" hidden="1">
      <c r="A668" s="251">
        <v>45760</v>
      </c>
      <c r="B668" s="252" t="s">
        <v>1177</v>
      </c>
      <c r="C668" s="258" t="s">
        <v>176</v>
      </c>
      <c r="D668" s="253" t="s">
        <v>116</v>
      </c>
      <c r="E668" s="254">
        <v>30000</v>
      </c>
      <c r="F668" s="254">
        <v>51.466009274174873</v>
      </c>
      <c r="G668" s="255">
        <v>582.90899999999999</v>
      </c>
      <c r="H668" s="256" t="s">
        <v>199</v>
      </c>
      <c r="I668" s="256" t="s">
        <v>1178</v>
      </c>
      <c r="J668" s="256" t="s">
        <v>97</v>
      </c>
      <c r="K668" s="269" t="s">
        <v>1903</v>
      </c>
      <c r="L668" s="256" t="s">
        <v>154</v>
      </c>
      <c r="M668" s="252"/>
      <c r="N668" s="252"/>
      <c r="O668" s="252"/>
    </row>
    <row r="669" spans="1:15" hidden="1">
      <c r="A669" s="251">
        <v>45760</v>
      </c>
      <c r="B669" s="252" t="s">
        <v>3770</v>
      </c>
      <c r="C669" s="258" t="s">
        <v>176</v>
      </c>
      <c r="D669" s="253" t="s">
        <v>442</v>
      </c>
      <c r="E669" s="254">
        <v>135000</v>
      </c>
      <c r="F669" s="254">
        <v>231.59704173378694</v>
      </c>
      <c r="G669" s="255">
        <v>582.90899999999999</v>
      </c>
      <c r="H669" s="256" t="s">
        <v>183</v>
      </c>
      <c r="I669" s="256" t="s">
        <v>1473</v>
      </c>
      <c r="J669" s="256" t="s">
        <v>97</v>
      </c>
      <c r="K669" s="269" t="s">
        <v>1903</v>
      </c>
      <c r="L669" s="256" t="s">
        <v>154</v>
      </c>
      <c r="M669" s="252"/>
      <c r="N669" s="252"/>
      <c r="O669" s="252"/>
    </row>
    <row r="670" spans="1:15" hidden="1">
      <c r="A670" s="251">
        <v>45760</v>
      </c>
      <c r="B670" s="252" t="s">
        <v>3867</v>
      </c>
      <c r="C670" s="258" t="s">
        <v>176</v>
      </c>
      <c r="D670" s="253" t="s">
        <v>442</v>
      </c>
      <c r="E670" s="254">
        <v>30000</v>
      </c>
      <c r="F670" s="254">
        <v>51.466009274174873</v>
      </c>
      <c r="G670" s="255">
        <v>582.90899999999999</v>
      </c>
      <c r="H670" s="256" t="s">
        <v>174</v>
      </c>
      <c r="I670" s="256" t="s">
        <v>1262</v>
      </c>
      <c r="J670" s="256" t="s">
        <v>97</v>
      </c>
      <c r="K670" s="269" t="s">
        <v>1903</v>
      </c>
      <c r="L670" s="256" t="s">
        <v>154</v>
      </c>
      <c r="M670" s="252"/>
      <c r="N670" s="252"/>
      <c r="O670" s="252"/>
    </row>
    <row r="671" spans="1:15" hidden="1">
      <c r="A671" s="251">
        <v>45760</v>
      </c>
      <c r="B671" s="252" t="s">
        <v>3884</v>
      </c>
      <c r="C671" s="252" t="s">
        <v>173</v>
      </c>
      <c r="D671" s="253" t="s">
        <v>442</v>
      </c>
      <c r="E671" s="254">
        <v>5000</v>
      </c>
      <c r="F671" s="254">
        <v>8.5776682123624788</v>
      </c>
      <c r="G671" s="255">
        <v>582.90899999999999</v>
      </c>
      <c r="H671" s="256" t="s">
        <v>174</v>
      </c>
      <c r="I671" s="256" t="s">
        <v>1263</v>
      </c>
      <c r="J671" s="256" t="s">
        <v>97</v>
      </c>
      <c r="K671" s="269" t="s">
        <v>1903</v>
      </c>
      <c r="L671" s="256" t="s">
        <v>154</v>
      </c>
      <c r="M671" s="252"/>
      <c r="N671" s="252"/>
      <c r="O671" s="252"/>
    </row>
    <row r="672" spans="1:15" hidden="1">
      <c r="A672" s="251">
        <v>45760</v>
      </c>
      <c r="B672" s="252" t="s">
        <v>3668</v>
      </c>
      <c r="C672" s="258" t="s">
        <v>176</v>
      </c>
      <c r="D672" s="253" t="s">
        <v>442</v>
      </c>
      <c r="E672" s="254">
        <v>30000</v>
      </c>
      <c r="F672" s="254">
        <v>51.466009274174873</v>
      </c>
      <c r="G672" s="255">
        <v>582.90899999999999</v>
      </c>
      <c r="H672" s="256" t="s">
        <v>322</v>
      </c>
      <c r="I672" s="256" t="s">
        <v>1284</v>
      </c>
      <c r="J672" s="256" t="s">
        <v>97</v>
      </c>
      <c r="K672" s="269" t="s">
        <v>1903</v>
      </c>
      <c r="L672" s="256" t="s">
        <v>154</v>
      </c>
      <c r="M672" s="252"/>
      <c r="N672" s="252"/>
      <c r="O672" s="252"/>
    </row>
    <row r="673" spans="1:15" hidden="1">
      <c r="A673" s="251">
        <v>45760</v>
      </c>
      <c r="B673" s="252" t="s">
        <v>3669</v>
      </c>
      <c r="C673" s="252" t="s">
        <v>173</v>
      </c>
      <c r="D673" s="253" t="s">
        <v>442</v>
      </c>
      <c r="E673" s="254">
        <v>8000</v>
      </c>
      <c r="F673" s="254">
        <v>13.724269139779965</v>
      </c>
      <c r="G673" s="255">
        <v>582.90899999999999</v>
      </c>
      <c r="H673" s="256" t="s">
        <v>322</v>
      </c>
      <c r="I673" s="256" t="s">
        <v>1285</v>
      </c>
      <c r="J673" s="256" t="s">
        <v>97</v>
      </c>
      <c r="K673" s="269" t="s">
        <v>1903</v>
      </c>
      <c r="L673" s="256" t="s">
        <v>154</v>
      </c>
      <c r="M673" s="252"/>
      <c r="N673" s="252"/>
      <c r="O673" s="252"/>
    </row>
    <row r="674" spans="1:15" hidden="1">
      <c r="A674" s="251">
        <v>45761</v>
      </c>
      <c r="B674" s="252" t="s">
        <v>3670</v>
      </c>
      <c r="C674" s="258" t="s">
        <v>176</v>
      </c>
      <c r="D674" s="253" t="s">
        <v>442</v>
      </c>
      <c r="E674" s="254">
        <v>15000</v>
      </c>
      <c r="F674" s="254">
        <v>25.733004637087436</v>
      </c>
      <c r="G674" s="255">
        <v>582.90899999999999</v>
      </c>
      <c r="H674" s="256" t="s">
        <v>322</v>
      </c>
      <c r="I674" s="256" t="s">
        <v>1286</v>
      </c>
      <c r="J674" s="256" t="s">
        <v>97</v>
      </c>
      <c r="K674" s="269" t="s">
        <v>1903</v>
      </c>
      <c r="L674" s="256" t="s">
        <v>154</v>
      </c>
      <c r="M674" s="252"/>
      <c r="N674" s="252"/>
      <c r="O674" s="252"/>
    </row>
    <row r="675" spans="1:15" hidden="1">
      <c r="A675" s="251">
        <v>45761</v>
      </c>
      <c r="B675" s="252" t="s">
        <v>3658</v>
      </c>
      <c r="C675" s="252" t="s">
        <v>173</v>
      </c>
      <c r="D675" s="253" t="s">
        <v>442</v>
      </c>
      <c r="E675" s="254">
        <v>3000</v>
      </c>
      <c r="F675" s="254">
        <v>5.1466009274174871</v>
      </c>
      <c r="G675" s="255">
        <v>582.90899999999999</v>
      </c>
      <c r="H675" s="256" t="s">
        <v>322</v>
      </c>
      <c r="I675" s="256" t="s">
        <v>1287</v>
      </c>
      <c r="J675" s="256" t="s">
        <v>97</v>
      </c>
      <c r="K675" s="269" t="s">
        <v>1903</v>
      </c>
      <c r="L675" s="256" t="s">
        <v>154</v>
      </c>
      <c r="M675" s="252"/>
      <c r="N675" s="252"/>
      <c r="O675" s="252"/>
    </row>
    <row r="676" spans="1:15" hidden="1">
      <c r="A676" s="251">
        <v>45761</v>
      </c>
      <c r="B676" s="252" t="s">
        <v>3658</v>
      </c>
      <c r="C676" s="252" t="s">
        <v>173</v>
      </c>
      <c r="D676" s="253" t="s">
        <v>442</v>
      </c>
      <c r="E676" s="254">
        <v>10000</v>
      </c>
      <c r="F676" s="254">
        <v>17.155336424724958</v>
      </c>
      <c r="G676" s="255">
        <v>582.90899999999999</v>
      </c>
      <c r="H676" s="256" t="s">
        <v>322</v>
      </c>
      <c r="I676" s="256" t="s">
        <v>1288</v>
      </c>
      <c r="J676" s="256" t="s">
        <v>97</v>
      </c>
      <c r="K676" s="269" t="s">
        <v>1903</v>
      </c>
      <c r="L676" s="256" t="s">
        <v>154</v>
      </c>
      <c r="M676" s="252"/>
      <c r="N676" s="252"/>
      <c r="O676" s="252"/>
    </row>
    <row r="677" spans="1:15" hidden="1">
      <c r="A677" s="251">
        <v>45761</v>
      </c>
      <c r="B677" s="252" t="s">
        <v>1309</v>
      </c>
      <c r="C677" s="252" t="s">
        <v>173</v>
      </c>
      <c r="D677" s="253" t="s">
        <v>116</v>
      </c>
      <c r="E677" s="254">
        <v>7000</v>
      </c>
      <c r="F677" s="254">
        <v>12.00873549730747</v>
      </c>
      <c r="G677" s="255">
        <v>582.90899999999999</v>
      </c>
      <c r="H677" s="256" t="s">
        <v>189</v>
      </c>
      <c r="I677" s="256" t="s">
        <v>1310</v>
      </c>
      <c r="J677" s="256" t="s">
        <v>97</v>
      </c>
      <c r="K677" s="269" t="s">
        <v>1903</v>
      </c>
      <c r="L677" s="256" t="s">
        <v>154</v>
      </c>
      <c r="M677" s="252"/>
      <c r="N677" s="252"/>
      <c r="O677" s="252"/>
    </row>
    <row r="678" spans="1:15" hidden="1">
      <c r="A678" s="251">
        <v>45761</v>
      </c>
      <c r="B678" s="252" t="s">
        <v>1325</v>
      </c>
      <c r="C678" s="259" t="s">
        <v>2087</v>
      </c>
      <c r="D678" s="252" t="s">
        <v>117</v>
      </c>
      <c r="E678" s="254">
        <v>14390</v>
      </c>
      <c r="F678" s="254">
        <v>24.686529115179212</v>
      </c>
      <c r="G678" s="255">
        <v>582.90899999999999</v>
      </c>
      <c r="H678" s="256" t="s">
        <v>189</v>
      </c>
      <c r="I678" s="256" t="s">
        <v>1326</v>
      </c>
      <c r="J678" s="256" t="s">
        <v>97</v>
      </c>
      <c r="K678" s="269" t="s">
        <v>1903</v>
      </c>
      <c r="L678" s="256" t="s">
        <v>154</v>
      </c>
      <c r="M678" s="252"/>
      <c r="N678" s="252"/>
      <c r="O678" s="252"/>
    </row>
    <row r="679" spans="1:15" hidden="1">
      <c r="A679" s="251">
        <v>45761</v>
      </c>
      <c r="B679" s="252" t="s">
        <v>1327</v>
      </c>
      <c r="C679" s="252" t="s">
        <v>173</v>
      </c>
      <c r="D679" s="253" t="s">
        <v>116</v>
      </c>
      <c r="E679" s="254">
        <v>20000</v>
      </c>
      <c r="F679" s="254">
        <v>34.310672849449915</v>
      </c>
      <c r="G679" s="255">
        <v>582.90899999999999</v>
      </c>
      <c r="H679" s="256" t="s">
        <v>189</v>
      </c>
      <c r="I679" s="256" t="s">
        <v>1328</v>
      </c>
      <c r="J679" s="256" t="s">
        <v>97</v>
      </c>
      <c r="K679" s="269" t="s">
        <v>1903</v>
      </c>
      <c r="L679" s="256" t="s">
        <v>154</v>
      </c>
      <c r="M679" s="252"/>
      <c r="N679" s="252"/>
      <c r="O679" s="252"/>
    </row>
    <row r="680" spans="1:15" hidden="1">
      <c r="A680" s="251">
        <v>45761</v>
      </c>
      <c r="B680" s="252" t="s">
        <v>1329</v>
      </c>
      <c r="C680" s="258" t="s">
        <v>176</v>
      </c>
      <c r="D680" s="253" t="s">
        <v>116</v>
      </c>
      <c r="E680" s="254">
        <v>50000</v>
      </c>
      <c r="F680" s="254">
        <v>85.776682123624781</v>
      </c>
      <c r="G680" s="255">
        <v>582.90899999999999</v>
      </c>
      <c r="H680" s="256" t="s">
        <v>189</v>
      </c>
      <c r="I680" s="256" t="s">
        <v>1330</v>
      </c>
      <c r="J680" s="256" t="s">
        <v>97</v>
      </c>
      <c r="K680" s="269" t="s">
        <v>1903</v>
      </c>
      <c r="L680" s="256" t="s">
        <v>154</v>
      </c>
      <c r="M680" s="252"/>
      <c r="N680" s="252"/>
      <c r="O680" s="252"/>
    </row>
    <row r="681" spans="1:15" hidden="1">
      <c r="A681" s="251">
        <v>45761</v>
      </c>
      <c r="B681" s="252" t="s">
        <v>1331</v>
      </c>
      <c r="C681" s="252" t="s">
        <v>173</v>
      </c>
      <c r="D681" s="253" t="s">
        <v>116</v>
      </c>
      <c r="E681" s="254">
        <v>20000</v>
      </c>
      <c r="F681" s="254">
        <v>34.310672849449915</v>
      </c>
      <c r="G681" s="255">
        <v>582.90899999999999</v>
      </c>
      <c r="H681" s="256" t="s">
        <v>189</v>
      </c>
      <c r="I681" s="256" t="s">
        <v>1332</v>
      </c>
      <c r="J681" s="256" t="s">
        <v>97</v>
      </c>
      <c r="K681" s="269" t="s">
        <v>1903</v>
      </c>
      <c r="L681" s="256" t="s">
        <v>154</v>
      </c>
      <c r="M681" s="252"/>
      <c r="N681" s="252"/>
      <c r="O681" s="252"/>
    </row>
    <row r="682" spans="1:15" hidden="1">
      <c r="A682" s="251">
        <v>45761</v>
      </c>
      <c r="B682" s="252" t="s">
        <v>1333</v>
      </c>
      <c r="C682" s="258" t="s">
        <v>176</v>
      </c>
      <c r="D682" s="253" t="s">
        <v>116</v>
      </c>
      <c r="E682" s="254">
        <v>50000</v>
      </c>
      <c r="F682" s="254">
        <v>85.776682123624781</v>
      </c>
      <c r="G682" s="255">
        <v>582.90899999999999</v>
      </c>
      <c r="H682" s="256" t="s">
        <v>189</v>
      </c>
      <c r="I682" s="256" t="s">
        <v>1334</v>
      </c>
      <c r="J682" s="256" t="s">
        <v>97</v>
      </c>
      <c r="K682" s="269" t="s">
        <v>1903</v>
      </c>
      <c r="L682" s="256" t="s">
        <v>154</v>
      </c>
      <c r="M682" s="252"/>
      <c r="N682" s="252"/>
      <c r="O682" s="252"/>
    </row>
    <row r="683" spans="1:15" hidden="1">
      <c r="A683" s="251">
        <v>45761</v>
      </c>
      <c r="B683" s="252" t="s">
        <v>1426</v>
      </c>
      <c r="C683" s="252" t="s">
        <v>126</v>
      </c>
      <c r="D683" s="253" t="s">
        <v>116</v>
      </c>
      <c r="E683" s="254">
        <v>368700</v>
      </c>
      <c r="F683" s="254">
        <v>632.51725397960922</v>
      </c>
      <c r="G683" s="255">
        <v>582.90899999999999</v>
      </c>
      <c r="H683" s="256" t="s">
        <v>147</v>
      </c>
      <c r="I683" s="256" t="s">
        <v>1445</v>
      </c>
      <c r="J683" s="256" t="s">
        <v>97</v>
      </c>
      <c r="K683" s="269" t="s">
        <v>1903</v>
      </c>
      <c r="L683" s="256" t="s">
        <v>154</v>
      </c>
      <c r="M683" s="252"/>
      <c r="N683" s="252"/>
      <c r="O683" s="252"/>
    </row>
    <row r="684" spans="1:15" hidden="1">
      <c r="A684" s="251">
        <v>45761</v>
      </c>
      <c r="B684" s="252" t="s">
        <v>1427</v>
      </c>
      <c r="C684" s="252" t="s">
        <v>126</v>
      </c>
      <c r="D684" s="253" t="s">
        <v>116</v>
      </c>
      <c r="E684" s="254">
        <v>107230</v>
      </c>
      <c r="F684" s="254">
        <v>183.95667248232573</v>
      </c>
      <c r="G684" s="255">
        <v>582.90899999999999</v>
      </c>
      <c r="H684" s="256" t="s">
        <v>147</v>
      </c>
      <c r="I684" s="256" t="s">
        <v>1446</v>
      </c>
      <c r="J684" s="256" t="s">
        <v>97</v>
      </c>
      <c r="K684" s="269" t="s">
        <v>1903</v>
      </c>
      <c r="L684" s="256" t="s">
        <v>154</v>
      </c>
      <c r="M684" s="252"/>
      <c r="N684" s="252"/>
      <c r="O684" s="252"/>
    </row>
    <row r="685" spans="1:15" hidden="1">
      <c r="A685" s="251">
        <v>45761</v>
      </c>
      <c r="B685" s="252" t="s">
        <v>1428</v>
      </c>
      <c r="C685" s="252" t="s">
        <v>126</v>
      </c>
      <c r="D685" s="253" t="s">
        <v>116</v>
      </c>
      <c r="E685" s="254">
        <v>103494</v>
      </c>
      <c r="F685" s="254">
        <v>177.54743879404847</v>
      </c>
      <c r="G685" s="255">
        <v>582.90899999999999</v>
      </c>
      <c r="H685" s="256" t="s">
        <v>147</v>
      </c>
      <c r="I685" s="256" t="s">
        <v>1447</v>
      </c>
      <c r="J685" s="256" t="s">
        <v>97</v>
      </c>
      <c r="K685" s="269" t="s">
        <v>1903</v>
      </c>
      <c r="L685" s="256" t="s">
        <v>154</v>
      </c>
      <c r="M685" s="252"/>
      <c r="N685" s="252"/>
      <c r="O685" s="252"/>
    </row>
    <row r="686" spans="1:15" hidden="1">
      <c r="A686" s="251">
        <v>45761</v>
      </c>
      <c r="B686" s="252" t="s">
        <v>1429</v>
      </c>
      <c r="C686" s="252" t="s">
        <v>126</v>
      </c>
      <c r="D686" s="253" t="s">
        <v>116</v>
      </c>
      <c r="E686" s="254">
        <v>103494</v>
      </c>
      <c r="F686" s="254">
        <v>177.54743879404847</v>
      </c>
      <c r="G686" s="255">
        <v>582.90899999999999</v>
      </c>
      <c r="H686" s="256" t="s">
        <v>147</v>
      </c>
      <c r="I686" s="256" t="s">
        <v>1448</v>
      </c>
      <c r="J686" s="256" t="s">
        <v>97</v>
      </c>
      <c r="K686" s="269" t="s">
        <v>1903</v>
      </c>
      <c r="L686" s="256" t="s">
        <v>154</v>
      </c>
      <c r="M686" s="252"/>
      <c r="N686" s="252"/>
      <c r="O686" s="252"/>
    </row>
    <row r="687" spans="1:15" hidden="1">
      <c r="A687" s="251">
        <v>45761</v>
      </c>
      <c r="B687" s="252" t="s">
        <v>1430</v>
      </c>
      <c r="C687" s="252" t="s">
        <v>126</v>
      </c>
      <c r="D687" s="253" t="s">
        <v>116</v>
      </c>
      <c r="E687" s="254">
        <v>103494</v>
      </c>
      <c r="F687" s="254">
        <v>177.54743879404847</v>
      </c>
      <c r="G687" s="255">
        <v>582.90899999999999</v>
      </c>
      <c r="H687" s="256" t="s">
        <v>147</v>
      </c>
      <c r="I687" s="256" t="s">
        <v>1449</v>
      </c>
      <c r="J687" s="256" t="s">
        <v>97</v>
      </c>
      <c r="K687" s="269" t="s">
        <v>1903</v>
      </c>
      <c r="L687" s="256" t="s">
        <v>154</v>
      </c>
      <c r="M687" s="252"/>
      <c r="N687" s="252"/>
      <c r="O687" s="252"/>
    </row>
    <row r="688" spans="1:15" hidden="1">
      <c r="A688" s="251">
        <v>45761</v>
      </c>
      <c r="B688" s="252" t="s">
        <v>1431</v>
      </c>
      <c r="C688" s="252" t="s">
        <v>126</v>
      </c>
      <c r="D688" s="252" t="s">
        <v>117</v>
      </c>
      <c r="E688" s="254">
        <v>65179</v>
      </c>
      <c r="F688" s="254">
        <v>111.81676728271479</v>
      </c>
      <c r="G688" s="255">
        <v>582.90899999999999</v>
      </c>
      <c r="H688" s="256" t="s">
        <v>147</v>
      </c>
      <c r="I688" s="256" t="s">
        <v>1450</v>
      </c>
      <c r="J688" s="256" t="s">
        <v>97</v>
      </c>
      <c r="K688" s="269" t="s">
        <v>1903</v>
      </c>
      <c r="L688" s="256" t="s">
        <v>154</v>
      </c>
      <c r="M688" s="252"/>
      <c r="N688" s="252"/>
      <c r="O688" s="252"/>
    </row>
    <row r="689" spans="1:15" hidden="1">
      <c r="A689" s="251">
        <v>45761</v>
      </c>
      <c r="B689" s="252" t="s">
        <v>1432</v>
      </c>
      <c r="C689" s="252" t="s">
        <v>126</v>
      </c>
      <c r="D689" s="252" t="s">
        <v>117</v>
      </c>
      <c r="E689" s="254">
        <v>256525</v>
      </c>
      <c r="F689" s="254">
        <v>440.07726763525699</v>
      </c>
      <c r="G689" s="255">
        <v>582.90899999999999</v>
      </c>
      <c r="H689" s="256" t="s">
        <v>147</v>
      </c>
      <c r="I689" s="256" t="s">
        <v>1451</v>
      </c>
      <c r="J689" s="256" t="s">
        <v>97</v>
      </c>
      <c r="K689" s="269" t="s">
        <v>1903</v>
      </c>
      <c r="L689" s="256" t="s">
        <v>154</v>
      </c>
      <c r="M689" s="252"/>
      <c r="N689" s="252"/>
      <c r="O689" s="252"/>
    </row>
    <row r="690" spans="1:15" hidden="1">
      <c r="A690" s="251">
        <v>45761</v>
      </c>
      <c r="B690" s="252" t="s">
        <v>1433</v>
      </c>
      <c r="C690" s="252" t="s">
        <v>126</v>
      </c>
      <c r="D690" s="252" t="s">
        <v>119</v>
      </c>
      <c r="E690" s="254">
        <v>127560</v>
      </c>
      <c r="F690" s="254">
        <v>218.83347143379154</v>
      </c>
      <c r="G690" s="255">
        <v>582.90899999999999</v>
      </c>
      <c r="H690" s="256" t="s">
        <v>147</v>
      </c>
      <c r="I690" s="256" t="s">
        <v>1452</v>
      </c>
      <c r="J690" s="256" t="s">
        <v>97</v>
      </c>
      <c r="K690" s="269" t="s">
        <v>1903</v>
      </c>
      <c r="L690" s="256" t="s">
        <v>154</v>
      </c>
      <c r="M690" s="252"/>
      <c r="N690" s="252"/>
      <c r="O690" s="252"/>
    </row>
    <row r="691" spans="1:15" hidden="1">
      <c r="A691" s="251">
        <v>45762</v>
      </c>
      <c r="B691" s="252" t="s">
        <v>1186</v>
      </c>
      <c r="C691" s="252" t="s">
        <v>303</v>
      </c>
      <c r="D691" s="252" t="s">
        <v>117</v>
      </c>
      <c r="E691" s="254">
        <v>11000</v>
      </c>
      <c r="F691" s="254">
        <v>18.870870067197455</v>
      </c>
      <c r="G691" s="255">
        <v>582.90899999999999</v>
      </c>
      <c r="H691" s="256" t="s">
        <v>152</v>
      </c>
      <c r="I691" s="256" t="s">
        <v>1187</v>
      </c>
      <c r="J691" s="256" t="s">
        <v>97</v>
      </c>
      <c r="K691" s="269" t="s">
        <v>1903</v>
      </c>
      <c r="L691" s="256" t="s">
        <v>154</v>
      </c>
      <c r="M691" s="252"/>
      <c r="N691" s="252"/>
      <c r="O691" s="252"/>
    </row>
    <row r="692" spans="1:15" hidden="1">
      <c r="A692" s="251">
        <v>45762</v>
      </c>
      <c r="B692" s="252" t="s">
        <v>1229</v>
      </c>
      <c r="C692" s="258" t="s">
        <v>125</v>
      </c>
      <c r="D692" s="252" t="s">
        <v>117</v>
      </c>
      <c r="E692" s="254">
        <v>25500</v>
      </c>
      <c r="F692" s="254">
        <v>43.746107883048644</v>
      </c>
      <c r="G692" s="255">
        <v>582.90899999999999</v>
      </c>
      <c r="H692" s="256" t="s">
        <v>583</v>
      </c>
      <c r="I692" s="256" t="s">
        <v>1230</v>
      </c>
      <c r="J692" s="256" t="s">
        <v>97</v>
      </c>
      <c r="K692" s="269" t="s">
        <v>1903</v>
      </c>
      <c r="L692" s="256" t="s">
        <v>154</v>
      </c>
      <c r="M692" s="252"/>
      <c r="N692" s="252"/>
      <c r="O692" s="252"/>
    </row>
    <row r="693" spans="1:15" hidden="1">
      <c r="A693" s="251">
        <v>45762</v>
      </c>
      <c r="B693" s="252" t="s">
        <v>771</v>
      </c>
      <c r="C693" s="259" t="s">
        <v>2087</v>
      </c>
      <c r="D693" s="252" t="s">
        <v>117</v>
      </c>
      <c r="E693" s="254">
        <v>5950</v>
      </c>
      <c r="F693" s="254">
        <v>10.20742517271135</v>
      </c>
      <c r="G693" s="255">
        <v>582.90899999999999</v>
      </c>
      <c r="H693" s="256" t="s">
        <v>583</v>
      </c>
      <c r="I693" s="256" t="s">
        <v>1231</v>
      </c>
      <c r="J693" s="256" t="s">
        <v>97</v>
      </c>
      <c r="K693" s="269" t="s">
        <v>1903</v>
      </c>
      <c r="L693" s="256" t="s">
        <v>154</v>
      </c>
      <c r="M693" s="252"/>
      <c r="N693" s="252"/>
      <c r="O693" s="252"/>
    </row>
    <row r="694" spans="1:15" hidden="1">
      <c r="A694" s="251">
        <v>45762</v>
      </c>
      <c r="B694" s="252" t="s">
        <v>1232</v>
      </c>
      <c r="C694" s="252" t="s">
        <v>151</v>
      </c>
      <c r="D694" s="252" t="s">
        <v>118</v>
      </c>
      <c r="E694" s="254">
        <v>20000</v>
      </c>
      <c r="F694" s="254">
        <v>34.310672849449915</v>
      </c>
      <c r="G694" s="255">
        <v>582.90899999999999</v>
      </c>
      <c r="H694" s="256" t="s">
        <v>583</v>
      </c>
      <c r="I694" s="256" t="s">
        <v>1233</v>
      </c>
      <c r="J694" s="256" t="s">
        <v>97</v>
      </c>
      <c r="K694" s="269" t="s">
        <v>1903</v>
      </c>
      <c r="L694" s="256" t="s">
        <v>154</v>
      </c>
      <c r="M694" s="252"/>
      <c r="N694" s="252"/>
      <c r="O694" s="252"/>
    </row>
    <row r="695" spans="1:15" hidden="1">
      <c r="A695" s="251">
        <v>45762</v>
      </c>
      <c r="B695" s="252" t="s">
        <v>1234</v>
      </c>
      <c r="C695" s="252" t="s">
        <v>151</v>
      </c>
      <c r="D695" s="253" t="s">
        <v>116</v>
      </c>
      <c r="E695" s="254">
        <v>40000</v>
      </c>
      <c r="F695" s="254">
        <v>68.62134569889983</v>
      </c>
      <c r="G695" s="255">
        <v>582.90899999999999</v>
      </c>
      <c r="H695" s="256" t="s">
        <v>583</v>
      </c>
      <c r="I695" s="256" t="s">
        <v>1235</v>
      </c>
      <c r="J695" s="256" t="s">
        <v>97</v>
      </c>
      <c r="K695" s="269" t="s">
        <v>1903</v>
      </c>
      <c r="L695" s="256" t="s">
        <v>154</v>
      </c>
      <c r="M695" s="252"/>
      <c r="N695" s="252"/>
      <c r="O695" s="252"/>
    </row>
    <row r="696" spans="1:15" hidden="1">
      <c r="A696" s="251">
        <v>45762</v>
      </c>
      <c r="B696" s="252" t="s">
        <v>1236</v>
      </c>
      <c r="C696" s="252" t="s">
        <v>151</v>
      </c>
      <c r="D696" s="253" t="s">
        <v>442</v>
      </c>
      <c r="E696" s="254">
        <v>55000</v>
      </c>
      <c r="F696" s="254">
        <v>94.354350335987263</v>
      </c>
      <c r="G696" s="255">
        <v>582.90899999999999</v>
      </c>
      <c r="H696" s="256" t="s">
        <v>583</v>
      </c>
      <c r="I696" s="256" t="s">
        <v>1237</v>
      </c>
      <c r="J696" s="256" t="s">
        <v>97</v>
      </c>
      <c r="K696" s="269" t="s">
        <v>1903</v>
      </c>
      <c r="L696" s="256" t="s">
        <v>154</v>
      </c>
      <c r="M696" s="252"/>
      <c r="N696" s="252"/>
      <c r="O696" s="252"/>
    </row>
    <row r="697" spans="1:15" hidden="1">
      <c r="A697" s="251">
        <v>45762</v>
      </c>
      <c r="B697" s="252" t="s">
        <v>1238</v>
      </c>
      <c r="C697" s="252" t="s">
        <v>151</v>
      </c>
      <c r="D697" s="252" t="s">
        <v>119</v>
      </c>
      <c r="E697" s="254">
        <v>10000</v>
      </c>
      <c r="F697" s="254">
        <v>17.155336424724958</v>
      </c>
      <c r="G697" s="255">
        <v>582.90899999999999</v>
      </c>
      <c r="H697" s="256" t="s">
        <v>583</v>
      </c>
      <c r="I697" s="256" t="s">
        <v>1239</v>
      </c>
      <c r="J697" s="256" t="s">
        <v>97</v>
      </c>
      <c r="K697" s="269" t="s">
        <v>1903</v>
      </c>
      <c r="L697" s="256" t="s">
        <v>154</v>
      </c>
      <c r="M697" s="252"/>
      <c r="N697" s="252"/>
      <c r="O697" s="252"/>
    </row>
    <row r="698" spans="1:15" hidden="1">
      <c r="A698" s="251">
        <v>45762</v>
      </c>
      <c r="B698" s="252" t="s">
        <v>1240</v>
      </c>
      <c r="C698" s="252" t="s">
        <v>151</v>
      </c>
      <c r="D698" s="253" t="s">
        <v>116</v>
      </c>
      <c r="E698" s="254">
        <v>10000</v>
      </c>
      <c r="F698" s="254">
        <v>17.155336424724958</v>
      </c>
      <c r="G698" s="255">
        <v>582.90899999999999</v>
      </c>
      <c r="H698" s="256" t="s">
        <v>583</v>
      </c>
      <c r="I698" s="256" t="s">
        <v>1241</v>
      </c>
      <c r="J698" s="256" t="s">
        <v>97</v>
      </c>
      <c r="K698" s="269" t="s">
        <v>1903</v>
      </c>
      <c r="L698" s="256" t="s">
        <v>154</v>
      </c>
      <c r="M698" s="252"/>
      <c r="N698" s="252"/>
      <c r="O698" s="252"/>
    </row>
    <row r="699" spans="1:15" hidden="1">
      <c r="A699" s="251">
        <v>45762</v>
      </c>
      <c r="B699" s="252" t="s">
        <v>1242</v>
      </c>
      <c r="C699" s="252" t="s">
        <v>151</v>
      </c>
      <c r="D699" s="253" t="s">
        <v>442</v>
      </c>
      <c r="E699" s="254">
        <v>5000</v>
      </c>
      <c r="F699" s="254">
        <v>8.5776682123624788</v>
      </c>
      <c r="G699" s="255">
        <v>582.90899999999999</v>
      </c>
      <c r="H699" s="256" t="s">
        <v>583</v>
      </c>
      <c r="I699" s="256" t="s">
        <v>1243</v>
      </c>
      <c r="J699" s="256" t="s">
        <v>97</v>
      </c>
      <c r="K699" s="269" t="s">
        <v>1903</v>
      </c>
      <c r="L699" s="256" t="s">
        <v>154</v>
      </c>
      <c r="M699" s="252"/>
      <c r="N699" s="252"/>
      <c r="O699" s="252"/>
    </row>
    <row r="700" spans="1:15" hidden="1">
      <c r="A700" s="251">
        <v>45762</v>
      </c>
      <c r="B700" s="252" t="s">
        <v>3871</v>
      </c>
      <c r="C700" s="258" t="s">
        <v>176</v>
      </c>
      <c r="D700" s="253" t="s">
        <v>442</v>
      </c>
      <c r="E700" s="254">
        <v>30000</v>
      </c>
      <c r="F700" s="254">
        <v>51.466009274174873</v>
      </c>
      <c r="G700" s="255">
        <v>582.90899999999999</v>
      </c>
      <c r="H700" s="256" t="s">
        <v>174</v>
      </c>
      <c r="I700" s="256" t="s">
        <v>1264</v>
      </c>
      <c r="J700" s="256" t="s">
        <v>97</v>
      </c>
      <c r="K700" s="269" t="s">
        <v>1903</v>
      </c>
      <c r="L700" s="256" t="s">
        <v>154</v>
      </c>
      <c r="M700" s="252"/>
      <c r="N700" s="252"/>
      <c r="O700" s="252"/>
    </row>
    <row r="701" spans="1:15" hidden="1">
      <c r="A701" s="251">
        <v>45762</v>
      </c>
      <c r="B701" s="252" t="s">
        <v>3884</v>
      </c>
      <c r="C701" s="252" t="s">
        <v>173</v>
      </c>
      <c r="D701" s="253" t="s">
        <v>442</v>
      </c>
      <c r="E701" s="254">
        <v>12000</v>
      </c>
      <c r="F701" s="254">
        <v>20.586403709669948</v>
      </c>
      <c r="G701" s="255">
        <v>582.90899999999999</v>
      </c>
      <c r="H701" s="256" t="s">
        <v>174</v>
      </c>
      <c r="I701" s="256" t="s">
        <v>1265</v>
      </c>
      <c r="J701" s="256" t="s">
        <v>97</v>
      </c>
      <c r="K701" s="269" t="s">
        <v>1903</v>
      </c>
      <c r="L701" s="256" t="s">
        <v>154</v>
      </c>
      <c r="M701" s="252"/>
      <c r="N701" s="252"/>
      <c r="O701" s="252"/>
    </row>
    <row r="702" spans="1:15" hidden="1">
      <c r="A702" s="251">
        <v>45762</v>
      </c>
      <c r="B702" s="252" t="s">
        <v>3671</v>
      </c>
      <c r="C702" s="258" t="s">
        <v>176</v>
      </c>
      <c r="D702" s="253" t="s">
        <v>442</v>
      </c>
      <c r="E702" s="254">
        <v>15000</v>
      </c>
      <c r="F702" s="254">
        <v>25.733004637087436</v>
      </c>
      <c r="G702" s="255">
        <v>582.90899999999999</v>
      </c>
      <c r="H702" s="256" t="s">
        <v>322</v>
      </c>
      <c r="I702" s="256" t="s">
        <v>1289</v>
      </c>
      <c r="J702" s="256" t="s">
        <v>97</v>
      </c>
      <c r="K702" s="269" t="s">
        <v>1903</v>
      </c>
      <c r="L702" s="256" t="s">
        <v>154</v>
      </c>
      <c r="M702" s="252"/>
      <c r="N702" s="252"/>
      <c r="O702" s="252"/>
    </row>
    <row r="703" spans="1:15" hidden="1">
      <c r="A703" s="251">
        <v>45763</v>
      </c>
      <c r="B703" s="252" t="s">
        <v>1311</v>
      </c>
      <c r="C703" s="258" t="s">
        <v>176</v>
      </c>
      <c r="D703" s="253" t="s">
        <v>116</v>
      </c>
      <c r="E703" s="254">
        <v>20000</v>
      </c>
      <c r="F703" s="254">
        <v>34.310672849449915</v>
      </c>
      <c r="G703" s="255">
        <v>582.90899999999999</v>
      </c>
      <c r="H703" s="256" t="s">
        <v>189</v>
      </c>
      <c r="I703" s="256" t="s">
        <v>1312</v>
      </c>
      <c r="J703" s="256" t="s">
        <v>97</v>
      </c>
      <c r="K703" s="269" t="s">
        <v>1903</v>
      </c>
      <c r="L703" s="256" t="s">
        <v>154</v>
      </c>
      <c r="M703" s="252"/>
      <c r="N703" s="252"/>
      <c r="O703" s="252"/>
    </row>
    <row r="704" spans="1:15" hidden="1">
      <c r="A704" s="251">
        <v>45764</v>
      </c>
      <c r="B704" s="252" t="s">
        <v>1290</v>
      </c>
      <c r="C704" s="259" t="s">
        <v>2087</v>
      </c>
      <c r="D704" s="252" t="s">
        <v>117</v>
      </c>
      <c r="E704" s="254">
        <v>7500</v>
      </c>
      <c r="F704" s="254">
        <v>12.866502318543718</v>
      </c>
      <c r="G704" s="255">
        <v>582.90899999999999</v>
      </c>
      <c r="H704" s="256" t="s">
        <v>322</v>
      </c>
      <c r="I704" s="256" t="s">
        <v>1291</v>
      </c>
      <c r="J704" s="256" t="s">
        <v>97</v>
      </c>
      <c r="K704" s="269" t="s">
        <v>1903</v>
      </c>
      <c r="L704" s="256" t="s">
        <v>154</v>
      </c>
      <c r="M704" s="252"/>
      <c r="N704" s="252"/>
      <c r="O704" s="252"/>
    </row>
    <row r="705" spans="1:15" hidden="1">
      <c r="A705" s="251">
        <v>45765</v>
      </c>
      <c r="B705" s="252" t="s">
        <v>3754</v>
      </c>
      <c r="C705" s="252" t="s">
        <v>173</v>
      </c>
      <c r="D705" s="253" t="s">
        <v>442</v>
      </c>
      <c r="E705" s="254">
        <v>7000</v>
      </c>
      <c r="F705" s="254">
        <v>12.00873549730747</v>
      </c>
      <c r="G705" s="255">
        <v>582.90899999999999</v>
      </c>
      <c r="H705" s="256" t="s">
        <v>183</v>
      </c>
      <c r="I705" s="256" t="s">
        <v>1474</v>
      </c>
      <c r="J705" s="256" t="s">
        <v>97</v>
      </c>
      <c r="K705" s="269" t="s">
        <v>1903</v>
      </c>
      <c r="L705" s="256" t="s">
        <v>154</v>
      </c>
      <c r="M705" s="252"/>
      <c r="N705" s="252"/>
      <c r="O705" s="252"/>
    </row>
    <row r="706" spans="1:15" hidden="1">
      <c r="A706" s="271">
        <v>45765</v>
      </c>
      <c r="B706" s="252" t="s">
        <v>3689</v>
      </c>
      <c r="C706" s="252" t="s">
        <v>173</v>
      </c>
      <c r="D706" s="253" t="s">
        <v>442</v>
      </c>
      <c r="E706" s="254">
        <v>7000</v>
      </c>
      <c r="F706" s="254">
        <v>12.00873549730747</v>
      </c>
      <c r="G706" s="255">
        <v>582.90899999999999</v>
      </c>
      <c r="H706" s="256" t="s">
        <v>316</v>
      </c>
      <c r="I706" s="256" t="s">
        <v>1274</v>
      </c>
      <c r="J706" s="256" t="s">
        <v>97</v>
      </c>
      <c r="K706" s="269" t="s">
        <v>1903</v>
      </c>
      <c r="L706" s="256" t="s">
        <v>154</v>
      </c>
      <c r="M706" s="252"/>
      <c r="N706" s="252"/>
      <c r="O706" s="252"/>
    </row>
    <row r="707" spans="1:15" hidden="1">
      <c r="A707" s="251">
        <v>45765</v>
      </c>
      <c r="B707" s="252" t="s">
        <v>1304</v>
      </c>
      <c r="C707" s="252" t="s">
        <v>173</v>
      </c>
      <c r="D707" s="253" t="s">
        <v>116</v>
      </c>
      <c r="E707" s="254">
        <v>7000</v>
      </c>
      <c r="F707" s="254">
        <v>12.00873549730747</v>
      </c>
      <c r="G707" s="255">
        <v>582.90899999999999</v>
      </c>
      <c r="H707" s="256" t="s">
        <v>186</v>
      </c>
      <c r="I707" s="256" t="s">
        <v>1305</v>
      </c>
      <c r="J707" s="256" t="s">
        <v>97</v>
      </c>
      <c r="K707" s="269" t="s">
        <v>1903</v>
      </c>
      <c r="L707" s="256" t="s">
        <v>154</v>
      </c>
      <c r="M707" s="252"/>
      <c r="N707" s="252"/>
      <c r="O707" s="252"/>
    </row>
    <row r="708" spans="1:15" hidden="1">
      <c r="A708" s="271">
        <v>45765</v>
      </c>
      <c r="B708" s="252" t="s">
        <v>1313</v>
      </c>
      <c r="C708" s="252" t="s">
        <v>173</v>
      </c>
      <c r="D708" s="253" t="s">
        <v>116</v>
      </c>
      <c r="E708" s="254">
        <v>7000</v>
      </c>
      <c r="F708" s="254">
        <v>12.00873549730747</v>
      </c>
      <c r="G708" s="255">
        <v>582.90899999999999</v>
      </c>
      <c r="H708" s="256" t="s">
        <v>189</v>
      </c>
      <c r="I708" s="256" t="s">
        <v>1314</v>
      </c>
      <c r="J708" s="256" t="s">
        <v>97</v>
      </c>
      <c r="K708" s="269" t="s">
        <v>1903</v>
      </c>
      <c r="L708" s="256" t="s">
        <v>154</v>
      </c>
      <c r="M708" s="252"/>
      <c r="N708" s="252"/>
      <c r="O708" s="252"/>
    </row>
    <row r="709" spans="1:15" hidden="1">
      <c r="A709" s="271">
        <v>45765</v>
      </c>
      <c r="B709" s="252" t="s">
        <v>1360</v>
      </c>
      <c r="C709" s="252" t="s">
        <v>173</v>
      </c>
      <c r="D709" s="253" t="s">
        <v>116</v>
      </c>
      <c r="E709" s="254">
        <v>7000</v>
      </c>
      <c r="F709" s="254">
        <v>12.00873549730747</v>
      </c>
      <c r="G709" s="255">
        <v>582.90899999999999</v>
      </c>
      <c r="H709" s="256" t="s">
        <v>192</v>
      </c>
      <c r="I709" s="256" t="s">
        <v>1361</v>
      </c>
      <c r="J709" s="256" t="s">
        <v>97</v>
      </c>
      <c r="K709" s="269" t="s">
        <v>1903</v>
      </c>
      <c r="L709" s="256" t="s">
        <v>154</v>
      </c>
      <c r="M709" s="252"/>
      <c r="N709" s="252"/>
      <c r="O709" s="252"/>
    </row>
    <row r="710" spans="1:15" hidden="1">
      <c r="A710" s="271">
        <v>45765</v>
      </c>
      <c r="B710" s="252" t="s">
        <v>1393</v>
      </c>
      <c r="C710" s="252" t="s">
        <v>195</v>
      </c>
      <c r="D710" s="253" t="s">
        <v>116</v>
      </c>
      <c r="E710" s="254">
        <v>7000</v>
      </c>
      <c r="F710" s="254">
        <v>12.00873549730747</v>
      </c>
      <c r="G710" s="255">
        <v>582.90899999999999</v>
      </c>
      <c r="H710" s="256" t="s">
        <v>196</v>
      </c>
      <c r="I710" s="256" t="s">
        <v>1394</v>
      </c>
      <c r="J710" s="256" t="s">
        <v>97</v>
      </c>
      <c r="K710" s="269" t="s">
        <v>1903</v>
      </c>
      <c r="L710" s="256" t="s">
        <v>154</v>
      </c>
      <c r="M710" s="252"/>
      <c r="N710" s="252"/>
      <c r="O710" s="252"/>
    </row>
    <row r="711" spans="1:15" hidden="1">
      <c r="A711" s="251">
        <v>45765</v>
      </c>
      <c r="B711" s="252" t="s">
        <v>1179</v>
      </c>
      <c r="C711" s="252" t="s">
        <v>173</v>
      </c>
      <c r="D711" s="253" t="s">
        <v>116</v>
      </c>
      <c r="E711" s="254">
        <v>7000</v>
      </c>
      <c r="F711" s="254">
        <v>12.00873549730747</v>
      </c>
      <c r="G711" s="255">
        <v>582.90899999999999</v>
      </c>
      <c r="H711" s="256" t="s">
        <v>199</v>
      </c>
      <c r="I711" s="256" t="s">
        <v>1180</v>
      </c>
      <c r="J711" s="256" t="s">
        <v>97</v>
      </c>
      <c r="K711" s="269" t="s">
        <v>1903</v>
      </c>
      <c r="L711" s="256" t="s">
        <v>154</v>
      </c>
      <c r="M711" s="252"/>
      <c r="N711" s="252"/>
      <c r="O711" s="252"/>
    </row>
    <row r="712" spans="1:15" hidden="1">
      <c r="A712" s="251">
        <v>45765</v>
      </c>
      <c r="B712" s="252" t="s">
        <v>3700</v>
      </c>
      <c r="C712" s="258" t="s">
        <v>176</v>
      </c>
      <c r="D712" s="253" t="s">
        <v>442</v>
      </c>
      <c r="E712" s="254">
        <v>210000</v>
      </c>
      <c r="F712" s="254">
        <v>360.26206491922409</v>
      </c>
      <c r="G712" s="255">
        <v>582.90899999999999</v>
      </c>
      <c r="H712" s="256" t="s">
        <v>316</v>
      </c>
      <c r="I712" s="256" t="s">
        <v>1275</v>
      </c>
      <c r="J712" s="256" t="s">
        <v>97</v>
      </c>
      <c r="K712" s="269" t="s">
        <v>1903</v>
      </c>
      <c r="L712" s="256" t="s">
        <v>154</v>
      </c>
      <c r="M712" s="252"/>
      <c r="N712" s="252"/>
      <c r="O712" s="252"/>
    </row>
    <row r="713" spans="1:15" hidden="1">
      <c r="A713" s="251">
        <v>45765</v>
      </c>
      <c r="B713" s="252" t="s">
        <v>1276</v>
      </c>
      <c r="C713" s="252" t="s">
        <v>173</v>
      </c>
      <c r="D713" s="253" t="s">
        <v>442</v>
      </c>
      <c r="E713" s="254">
        <v>34300</v>
      </c>
      <c r="F713" s="254">
        <v>58.842803936806604</v>
      </c>
      <c r="G713" s="255">
        <v>582.90899999999999</v>
      </c>
      <c r="H713" s="256" t="s">
        <v>316</v>
      </c>
      <c r="I713" s="256" t="s">
        <v>1277</v>
      </c>
      <c r="J713" s="256" t="s">
        <v>97</v>
      </c>
      <c r="K713" s="269" t="s">
        <v>1903</v>
      </c>
      <c r="L713" s="256" t="s">
        <v>154</v>
      </c>
      <c r="M713" s="252"/>
      <c r="N713" s="252"/>
      <c r="O713" s="252"/>
    </row>
    <row r="714" spans="1:15" hidden="1">
      <c r="A714" s="251">
        <v>45765</v>
      </c>
      <c r="B714" s="252" t="s">
        <v>1485</v>
      </c>
      <c r="C714" s="258" t="s">
        <v>176</v>
      </c>
      <c r="D714" s="253" t="s">
        <v>116</v>
      </c>
      <c r="E714" s="254">
        <v>105000</v>
      </c>
      <c r="F714" s="254">
        <v>180.13103245961204</v>
      </c>
      <c r="G714" s="255">
        <v>582.90899999999999</v>
      </c>
      <c r="H714" s="256" t="s">
        <v>186</v>
      </c>
      <c r="I714" s="256" t="s">
        <v>1306</v>
      </c>
      <c r="J714" s="256" t="s">
        <v>97</v>
      </c>
      <c r="K714" s="269" t="s">
        <v>1903</v>
      </c>
      <c r="L714" s="256" t="s">
        <v>154</v>
      </c>
      <c r="M714" s="252"/>
      <c r="N714" s="252"/>
      <c r="O714" s="252"/>
    </row>
    <row r="715" spans="1:15" hidden="1">
      <c r="A715" s="251">
        <v>45765</v>
      </c>
      <c r="B715" s="252" t="s">
        <v>1315</v>
      </c>
      <c r="C715" s="258" t="s">
        <v>176</v>
      </c>
      <c r="D715" s="253" t="s">
        <v>116</v>
      </c>
      <c r="E715" s="254">
        <v>30000</v>
      </c>
      <c r="F715" s="254">
        <v>51.466009274174873</v>
      </c>
      <c r="G715" s="255">
        <v>582.90899999999999</v>
      </c>
      <c r="H715" s="256" t="s">
        <v>189</v>
      </c>
      <c r="I715" s="256" t="s">
        <v>1316</v>
      </c>
      <c r="J715" s="256" t="s">
        <v>97</v>
      </c>
      <c r="K715" s="269" t="s">
        <v>1903</v>
      </c>
      <c r="L715" s="256" t="s">
        <v>154</v>
      </c>
      <c r="M715" s="252"/>
      <c r="N715" s="252"/>
      <c r="O715" s="252"/>
    </row>
    <row r="716" spans="1:15" hidden="1">
      <c r="A716" s="251">
        <v>45765</v>
      </c>
      <c r="B716" s="252" t="s">
        <v>1495</v>
      </c>
      <c r="C716" s="258" t="s">
        <v>176</v>
      </c>
      <c r="D716" s="253" t="s">
        <v>116</v>
      </c>
      <c r="E716" s="254">
        <v>90000</v>
      </c>
      <c r="F716" s="254">
        <v>154.39802782252463</v>
      </c>
      <c r="G716" s="255">
        <v>582.90899999999999</v>
      </c>
      <c r="H716" s="256" t="s">
        <v>192</v>
      </c>
      <c r="I716" s="256" t="s">
        <v>1362</v>
      </c>
      <c r="J716" s="256" t="s">
        <v>97</v>
      </c>
      <c r="K716" s="269" t="s">
        <v>1903</v>
      </c>
      <c r="L716" s="256" t="s">
        <v>154</v>
      </c>
      <c r="M716" s="252"/>
      <c r="N716" s="252"/>
      <c r="O716" s="252"/>
    </row>
    <row r="717" spans="1:15" hidden="1">
      <c r="A717" s="251">
        <v>45765</v>
      </c>
      <c r="B717" s="252" t="s">
        <v>1395</v>
      </c>
      <c r="C717" s="258" t="s">
        <v>176</v>
      </c>
      <c r="D717" s="253" t="s">
        <v>116</v>
      </c>
      <c r="E717" s="254">
        <v>105000</v>
      </c>
      <c r="F717" s="254">
        <v>180.13103245961204</v>
      </c>
      <c r="G717" s="255">
        <v>582.90899999999999</v>
      </c>
      <c r="H717" s="256" t="s">
        <v>196</v>
      </c>
      <c r="I717" s="256" t="s">
        <v>1396</v>
      </c>
      <c r="J717" s="256" t="s">
        <v>97</v>
      </c>
      <c r="K717" s="269" t="s">
        <v>1903</v>
      </c>
      <c r="L717" s="256" t="s">
        <v>154</v>
      </c>
      <c r="M717" s="252"/>
      <c r="N717" s="252"/>
      <c r="O717" s="252"/>
    </row>
    <row r="718" spans="1:15" hidden="1">
      <c r="A718" s="251">
        <v>45765</v>
      </c>
      <c r="B718" s="252" t="s">
        <v>1410</v>
      </c>
      <c r="C718" s="252" t="s">
        <v>173</v>
      </c>
      <c r="D718" s="252" t="s">
        <v>119</v>
      </c>
      <c r="E718" s="254">
        <v>7000</v>
      </c>
      <c r="F718" s="254">
        <v>12.00873549730747</v>
      </c>
      <c r="G718" s="255">
        <v>582.90899999999999</v>
      </c>
      <c r="H718" s="256" t="s">
        <v>212</v>
      </c>
      <c r="I718" s="256" t="s">
        <v>1411</v>
      </c>
      <c r="J718" s="256" t="s">
        <v>97</v>
      </c>
      <c r="K718" s="269" t="s">
        <v>1903</v>
      </c>
      <c r="L718" s="256" t="s">
        <v>154</v>
      </c>
      <c r="M718" s="252"/>
      <c r="N718" s="252"/>
      <c r="O718" s="252"/>
    </row>
    <row r="719" spans="1:15" hidden="1">
      <c r="A719" s="251">
        <v>45765</v>
      </c>
      <c r="B719" s="252" t="s">
        <v>1487</v>
      </c>
      <c r="C719" s="258" t="s">
        <v>176</v>
      </c>
      <c r="D719" s="252" t="s">
        <v>119</v>
      </c>
      <c r="E719" s="254">
        <v>105000</v>
      </c>
      <c r="F719" s="254">
        <v>180.13103245961204</v>
      </c>
      <c r="G719" s="255">
        <v>582.90899999999999</v>
      </c>
      <c r="H719" s="256" t="s">
        <v>212</v>
      </c>
      <c r="I719" s="256" t="s">
        <v>1412</v>
      </c>
      <c r="J719" s="256" t="s">
        <v>97</v>
      </c>
      <c r="K719" s="269" t="s">
        <v>1903</v>
      </c>
      <c r="L719" s="256" t="s">
        <v>154</v>
      </c>
      <c r="M719" s="252"/>
      <c r="N719" s="252"/>
      <c r="O719" s="252"/>
    </row>
    <row r="720" spans="1:15" hidden="1">
      <c r="A720" s="251">
        <v>45766</v>
      </c>
      <c r="B720" s="252" t="s">
        <v>3770</v>
      </c>
      <c r="C720" s="258" t="s">
        <v>176</v>
      </c>
      <c r="D720" s="253" t="s">
        <v>442</v>
      </c>
      <c r="E720" s="254">
        <v>150000</v>
      </c>
      <c r="F720" s="254">
        <v>257.33004637087436</v>
      </c>
      <c r="G720" s="255">
        <v>582.90899999999999</v>
      </c>
      <c r="H720" s="256" t="s">
        <v>183</v>
      </c>
      <c r="I720" s="256" t="s">
        <v>1475</v>
      </c>
      <c r="J720" s="256" t="s">
        <v>97</v>
      </c>
      <c r="K720" s="269" t="s">
        <v>1903</v>
      </c>
      <c r="L720" s="256" t="s">
        <v>154</v>
      </c>
      <c r="M720" s="252"/>
      <c r="N720" s="252"/>
      <c r="O720" s="252"/>
    </row>
    <row r="721" spans="1:15" hidden="1">
      <c r="A721" s="251">
        <v>45766</v>
      </c>
      <c r="B721" s="252" t="s">
        <v>3770</v>
      </c>
      <c r="C721" s="258" t="s">
        <v>176</v>
      </c>
      <c r="D721" s="253" t="s">
        <v>442</v>
      </c>
      <c r="E721" s="254">
        <v>150000</v>
      </c>
      <c r="F721" s="254">
        <v>257.33004637087436</v>
      </c>
      <c r="G721" s="255">
        <v>582.90899999999999</v>
      </c>
      <c r="H721" s="256" t="s">
        <v>183</v>
      </c>
      <c r="I721" s="256" t="s">
        <v>1476</v>
      </c>
      <c r="J721" s="256" t="s">
        <v>97</v>
      </c>
      <c r="K721" s="269" t="s">
        <v>1903</v>
      </c>
      <c r="L721" s="256" t="s">
        <v>154</v>
      </c>
      <c r="M721" s="252"/>
      <c r="N721" s="252"/>
      <c r="O721" s="252"/>
    </row>
    <row r="722" spans="1:15" hidden="1">
      <c r="A722" s="251">
        <v>45769</v>
      </c>
      <c r="B722" s="252" t="s">
        <v>1489</v>
      </c>
      <c r="C722" s="252" t="s">
        <v>126</v>
      </c>
      <c r="D722" s="253" t="s">
        <v>989</v>
      </c>
      <c r="E722" s="254">
        <v>55500</v>
      </c>
      <c r="F722" s="254">
        <v>95.212117157223517</v>
      </c>
      <c r="G722" s="255">
        <v>582.90899999999999</v>
      </c>
      <c r="H722" s="256" t="s">
        <v>152</v>
      </c>
      <c r="I722" s="256" t="s">
        <v>1184</v>
      </c>
      <c r="J722" s="256" t="s">
        <v>97</v>
      </c>
      <c r="K722" s="269" t="s">
        <v>1903</v>
      </c>
      <c r="L722" s="256" t="s">
        <v>154</v>
      </c>
      <c r="M722" s="252"/>
      <c r="N722" s="252"/>
      <c r="O722" s="252"/>
    </row>
    <row r="723" spans="1:15" hidden="1">
      <c r="A723" s="251">
        <v>45770</v>
      </c>
      <c r="B723" s="252" t="s">
        <v>1434</v>
      </c>
      <c r="C723" s="252" t="s">
        <v>126</v>
      </c>
      <c r="D723" s="253" t="s">
        <v>442</v>
      </c>
      <c r="E723" s="254">
        <v>255000</v>
      </c>
      <c r="F723" s="254">
        <v>437.46107883048643</v>
      </c>
      <c r="G723" s="255">
        <v>582.90899999999999</v>
      </c>
      <c r="H723" s="256" t="s">
        <v>147</v>
      </c>
      <c r="I723" s="256" t="s">
        <v>1453</v>
      </c>
      <c r="J723" s="256" t="s">
        <v>97</v>
      </c>
      <c r="K723" s="269" t="s">
        <v>1903</v>
      </c>
      <c r="L723" s="256" t="s">
        <v>154</v>
      </c>
      <c r="M723" s="252"/>
      <c r="N723" s="252"/>
      <c r="O723" s="252"/>
    </row>
    <row r="724" spans="1:15" hidden="1">
      <c r="A724" s="251">
        <v>45770</v>
      </c>
      <c r="B724" s="252" t="s">
        <v>1503</v>
      </c>
      <c r="C724" s="252" t="s">
        <v>122</v>
      </c>
      <c r="D724" s="253" t="s">
        <v>116</v>
      </c>
      <c r="E724" s="254">
        <v>300000</v>
      </c>
      <c r="F724" s="254">
        <v>514.66009274174871</v>
      </c>
      <c r="G724" s="264">
        <v>579.64599999999996</v>
      </c>
      <c r="H724" s="256" t="s">
        <v>147</v>
      </c>
      <c r="I724" s="256" t="s">
        <v>1454</v>
      </c>
      <c r="J724" s="256" t="s">
        <v>97</v>
      </c>
      <c r="K724" s="272" t="s">
        <v>201</v>
      </c>
      <c r="L724" s="256" t="s">
        <v>154</v>
      </c>
      <c r="M724" s="252"/>
      <c r="N724" s="252"/>
      <c r="O724" s="252"/>
    </row>
    <row r="725" spans="1:15" hidden="1">
      <c r="A725" s="251">
        <v>45770</v>
      </c>
      <c r="B725" s="252" t="s">
        <v>1502</v>
      </c>
      <c r="C725" s="252" t="s">
        <v>173</v>
      </c>
      <c r="D725" s="253" t="s">
        <v>116</v>
      </c>
      <c r="E725" s="254">
        <v>300000</v>
      </c>
      <c r="F725" s="254">
        <v>514.66009274174871</v>
      </c>
      <c r="G725" s="255">
        <v>582.90899999999999</v>
      </c>
      <c r="H725" s="256" t="s">
        <v>147</v>
      </c>
      <c r="I725" s="256" t="s">
        <v>1455</v>
      </c>
      <c r="J725" s="256" t="s">
        <v>97</v>
      </c>
      <c r="K725" s="269" t="s">
        <v>1903</v>
      </c>
      <c r="L725" s="256" t="s">
        <v>154</v>
      </c>
      <c r="M725" s="252"/>
      <c r="N725" s="252"/>
      <c r="O725" s="252"/>
    </row>
    <row r="726" spans="1:15" hidden="1">
      <c r="A726" s="251">
        <v>45771</v>
      </c>
      <c r="B726" s="252" t="s">
        <v>1244</v>
      </c>
      <c r="C726" s="252" t="s">
        <v>126</v>
      </c>
      <c r="D726" s="252" t="s">
        <v>117</v>
      </c>
      <c r="E726" s="254">
        <v>10500</v>
      </c>
      <c r="F726" s="254">
        <v>18.013103245961204</v>
      </c>
      <c r="G726" s="255">
        <v>582.90899999999999</v>
      </c>
      <c r="H726" s="256" t="s">
        <v>583</v>
      </c>
      <c r="I726" s="256" t="s">
        <v>1245</v>
      </c>
      <c r="J726" s="256" t="s">
        <v>97</v>
      </c>
      <c r="K726" s="269" t="s">
        <v>1903</v>
      </c>
      <c r="L726" s="256" t="s">
        <v>154</v>
      </c>
      <c r="M726" s="252"/>
      <c r="N726" s="252"/>
      <c r="O726" s="252"/>
    </row>
    <row r="727" spans="1:15" hidden="1">
      <c r="A727" s="251">
        <v>45771</v>
      </c>
      <c r="B727" s="252" t="s">
        <v>1317</v>
      </c>
      <c r="C727" s="252" t="s">
        <v>173</v>
      </c>
      <c r="D727" s="253" t="s">
        <v>116</v>
      </c>
      <c r="E727" s="254">
        <v>37750</v>
      </c>
      <c r="F727" s="254">
        <v>64.761395003336716</v>
      </c>
      <c r="G727" s="255">
        <v>582.90899999999999</v>
      </c>
      <c r="H727" s="256" t="s">
        <v>189</v>
      </c>
      <c r="I727" s="256" t="s">
        <v>1318</v>
      </c>
      <c r="J727" s="256" t="s">
        <v>97</v>
      </c>
      <c r="K727" s="269" t="s">
        <v>1903</v>
      </c>
      <c r="L727" s="256" t="s">
        <v>154</v>
      </c>
      <c r="M727" s="252"/>
      <c r="N727" s="252"/>
      <c r="O727" s="252"/>
    </row>
    <row r="728" spans="1:15" hidden="1">
      <c r="A728" s="251">
        <v>45771</v>
      </c>
      <c r="B728" s="252" t="s">
        <v>818</v>
      </c>
      <c r="C728" s="258" t="s">
        <v>1164</v>
      </c>
      <c r="D728" s="252" t="s">
        <v>117</v>
      </c>
      <c r="E728" s="254">
        <v>31250</v>
      </c>
      <c r="F728" s="254">
        <v>53.610426327265493</v>
      </c>
      <c r="G728" s="255">
        <v>582.90899999999999</v>
      </c>
      <c r="H728" s="256" t="s">
        <v>189</v>
      </c>
      <c r="I728" s="256" t="s">
        <v>1335</v>
      </c>
      <c r="J728" s="256" t="s">
        <v>97</v>
      </c>
      <c r="K728" s="269" t="s">
        <v>1903</v>
      </c>
      <c r="L728" s="256" t="s">
        <v>154</v>
      </c>
      <c r="M728" s="252"/>
      <c r="N728" s="252"/>
      <c r="O728" s="252"/>
    </row>
    <row r="729" spans="1:15" hidden="1">
      <c r="A729" s="251">
        <v>45771</v>
      </c>
      <c r="B729" s="252" t="s">
        <v>1496</v>
      </c>
      <c r="C729" s="258" t="s">
        <v>1164</v>
      </c>
      <c r="D729" s="252" t="s">
        <v>117</v>
      </c>
      <c r="E729" s="254">
        <v>31250</v>
      </c>
      <c r="F729" s="254">
        <v>53.610426327265493</v>
      </c>
      <c r="G729" s="255">
        <v>582.90899999999999</v>
      </c>
      <c r="H729" s="256" t="s">
        <v>192</v>
      </c>
      <c r="I729" s="256" t="s">
        <v>1363</v>
      </c>
      <c r="J729" s="256" t="s">
        <v>97</v>
      </c>
      <c r="K729" s="269" t="s">
        <v>1903</v>
      </c>
      <c r="L729" s="256" t="s">
        <v>154</v>
      </c>
      <c r="M729" s="252"/>
      <c r="N729" s="252"/>
      <c r="O729" s="252"/>
    </row>
    <row r="730" spans="1:15" hidden="1">
      <c r="A730" s="251">
        <v>45771</v>
      </c>
      <c r="B730" s="252" t="s">
        <v>1488</v>
      </c>
      <c r="C730" s="258" t="s">
        <v>1164</v>
      </c>
      <c r="D730" s="252" t="s">
        <v>117</v>
      </c>
      <c r="E730" s="254">
        <v>20000</v>
      </c>
      <c r="F730" s="254">
        <v>34.310672849449915</v>
      </c>
      <c r="G730" s="255">
        <v>582.90899999999999</v>
      </c>
      <c r="H730" s="256" t="s">
        <v>212</v>
      </c>
      <c r="I730" s="256" t="s">
        <v>1418</v>
      </c>
      <c r="J730" s="256" t="s">
        <v>97</v>
      </c>
      <c r="K730" s="269" t="s">
        <v>1903</v>
      </c>
      <c r="L730" s="256" t="s">
        <v>154</v>
      </c>
      <c r="M730" s="252"/>
      <c r="N730" s="252"/>
      <c r="O730" s="252"/>
    </row>
    <row r="731" spans="1:15" hidden="1">
      <c r="A731" s="251">
        <v>45772</v>
      </c>
      <c r="B731" s="252" t="s">
        <v>584</v>
      </c>
      <c r="C731" s="252" t="s">
        <v>368</v>
      </c>
      <c r="D731" s="253" t="s">
        <v>442</v>
      </c>
      <c r="E731" s="254">
        <v>50000</v>
      </c>
      <c r="F731" s="254">
        <v>85.776682123624781</v>
      </c>
      <c r="G731" s="255">
        <v>582.90899999999999</v>
      </c>
      <c r="H731" s="256" t="s">
        <v>152</v>
      </c>
      <c r="I731" s="256" t="s">
        <v>1185</v>
      </c>
      <c r="J731" s="256" t="s">
        <v>97</v>
      </c>
      <c r="K731" s="269" t="s">
        <v>1903</v>
      </c>
      <c r="L731" s="256" t="s">
        <v>154</v>
      </c>
      <c r="M731" s="252"/>
      <c r="N731" s="252"/>
      <c r="O731" s="252"/>
    </row>
    <row r="732" spans="1:15" hidden="1">
      <c r="A732" s="251">
        <v>45772</v>
      </c>
      <c r="B732" s="252" t="s">
        <v>1246</v>
      </c>
      <c r="C732" s="252" t="s">
        <v>303</v>
      </c>
      <c r="D732" s="252" t="s">
        <v>117</v>
      </c>
      <c r="E732" s="254">
        <v>8000</v>
      </c>
      <c r="F732" s="254">
        <v>13.724269139779965</v>
      </c>
      <c r="G732" s="255">
        <v>582.90899999999999</v>
      </c>
      <c r="H732" s="256" t="s">
        <v>583</v>
      </c>
      <c r="I732" s="256" t="s">
        <v>1247</v>
      </c>
      <c r="J732" s="256" t="s">
        <v>97</v>
      </c>
      <c r="K732" s="269" t="s">
        <v>1903</v>
      </c>
      <c r="L732" s="256" t="s">
        <v>154</v>
      </c>
      <c r="M732" s="252"/>
      <c r="N732" s="252"/>
      <c r="O732" s="252"/>
    </row>
    <row r="733" spans="1:15" hidden="1">
      <c r="A733" s="251">
        <v>45772</v>
      </c>
      <c r="B733" s="252" t="s">
        <v>1477</v>
      </c>
      <c r="C733" s="252" t="s">
        <v>173</v>
      </c>
      <c r="D733" s="253" t="s">
        <v>442</v>
      </c>
      <c r="E733" s="254">
        <v>48400</v>
      </c>
      <c r="F733" s="254">
        <v>83.031828295668788</v>
      </c>
      <c r="G733" s="255">
        <v>582.90899999999999</v>
      </c>
      <c r="H733" s="256" t="s">
        <v>183</v>
      </c>
      <c r="I733" s="256" t="s">
        <v>1478</v>
      </c>
      <c r="J733" s="256" t="s">
        <v>97</v>
      </c>
      <c r="K733" s="269" t="s">
        <v>1903</v>
      </c>
      <c r="L733" s="256" t="s">
        <v>154</v>
      </c>
      <c r="M733" s="252"/>
      <c r="N733" s="252"/>
      <c r="O733" s="252"/>
    </row>
    <row r="734" spans="1:15" hidden="1">
      <c r="A734" s="251">
        <v>45772</v>
      </c>
      <c r="B734" s="252" t="s">
        <v>1479</v>
      </c>
      <c r="C734" s="252" t="s">
        <v>368</v>
      </c>
      <c r="D734" s="253" t="s">
        <v>442</v>
      </c>
      <c r="E734" s="254">
        <v>9000</v>
      </c>
      <c r="F734" s="254">
        <v>15.439802782252462</v>
      </c>
      <c r="G734" s="255">
        <v>582.90899999999999</v>
      </c>
      <c r="H734" s="256" t="s">
        <v>183</v>
      </c>
      <c r="I734" s="256" t="s">
        <v>1480</v>
      </c>
      <c r="J734" s="256" t="s">
        <v>97</v>
      </c>
      <c r="K734" s="269" t="s">
        <v>1903</v>
      </c>
      <c r="L734" s="256" t="s">
        <v>154</v>
      </c>
      <c r="M734" s="252"/>
      <c r="N734" s="252"/>
      <c r="O734" s="252"/>
    </row>
    <row r="735" spans="1:15" hidden="1">
      <c r="A735" s="251">
        <v>45772</v>
      </c>
      <c r="B735" s="252" t="s">
        <v>1266</v>
      </c>
      <c r="C735" s="252" t="s">
        <v>368</v>
      </c>
      <c r="D735" s="253" t="s">
        <v>442</v>
      </c>
      <c r="E735" s="254">
        <v>15000</v>
      </c>
      <c r="F735" s="254">
        <v>25.733004637087436</v>
      </c>
      <c r="G735" s="255">
        <v>582.90899999999999</v>
      </c>
      <c r="H735" s="256" t="s">
        <v>174</v>
      </c>
      <c r="I735" s="256" t="s">
        <v>1267</v>
      </c>
      <c r="J735" s="256" t="s">
        <v>97</v>
      </c>
      <c r="K735" s="269" t="s">
        <v>1903</v>
      </c>
      <c r="L735" s="256" t="s">
        <v>154</v>
      </c>
      <c r="M735" s="252"/>
      <c r="N735" s="252"/>
      <c r="O735" s="252"/>
    </row>
    <row r="736" spans="1:15" hidden="1">
      <c r="A736" s="251">
        <v>45772</v>
      </c>
      <c r="B736" s="252" t="s">
        <v>1292</v>
      </c>
      <c r="C736" s="252" t="s">
        <v>368</v>
      </c>
      <c r="D736" s="253" t="s">
        <v>442</v>
      </c>
      <c r="E736" s="254">
        <v>10500</v>
      </c>
      <c r="F736" s="254">
        <v>18.013103245961204</v>
      </c>
      <c r="G736" s="255">
        <v>582.90899999999999</v>
      </c>
      <c r="H736" s="256" t="s">
        <v>322</v>
      </c>
      <c r="I736" s="256" t="s">
        <v>1293</v>
      </c>
      <c r="J736" s="256" t="s">
        <v>97</v>
      </c>
      <c r="K736" s="269" t="s">
        <v>1903</v>
      </c>
      <c r="L736" s="256" t="s">
        <v>154</v>
      </c>
      <c r="M736" s="252"/>
      <c r="N736" s="252"/>
      <c r="O736" s="252"/>
    </row>
    <row r="737" spans="1:15" hidden="1">
      <c r="A737" s="251">
        <v>45772</v>
      </c>
      <c r="B737" s="252" t="s">
        <v>1307</v>
      </c>
      <c r="C737" s="252" t="s">
        <v>173</v>
      </c>
      <c r="D737" s="253" t="s">
        <v>116</v>
      </c>
      <c r="E737" s="254">
        <v>23600</v>
      </c>
      <c r="F737" s="254">
        <v>40.486593962350902</v>
      </c>
      <c r="G737" s="255">
        <v>582.90899999999999</v>
      </c>
      <c r="H737" s="256" t="s">
        <v>186</v>
      </c>
      <c r="I737" s="256" t="s">
        <v>1308</v>
      </c>
      <c r="J737" s="256" t="s">
        <v>97</v>
      </c>
      <c r="K737" s="269" t="s">
        <v>1903</v>
      </c>
      <c r="L737" s="256" t="s">
        <v>154</v>
      </c>
      <c r="M737" s="252"/>
      <c r="N737" s="252"/>
      <c r="O737" s="252"/>
    </row>
    <row r="738" spans="1:15" hidden="1">
      <c r="A738" s="251">
        <v>45772</v>
      </c>
      <c r="B738" s="252" t="s">
        <v>1364</v>
      </c>
      <c r="C738" s="252" t="s">
        <v>173</v>
      </c>
      <c r="D738" s="253" t="s">
        <v>116</v>
      </c>
      <c r="E738" s="254">
        <v>20000</v>
      </c>
      <c r="F738" s="254">
        <v>34.310672849449915</v>
      </c>
      <c r="G738" s="255">
        <v>582.90899999999999</v>
      </c>
      <c r="H738" s="256" t="s">
        <v>192</v>
      </c>
      <c r="I738" s="256" t="s">
        <v>1365</v>
      </c>
      <c r="J738" s="256" t="s">
        <v>97</v>
      </c>
      <c r="K738" s="269" t="s">
        <v>1903</v>
      </c>
      <c r="L738" s="256" t="s">
        <v>154</v>
      </c>
      <c r="M738" s="252"/>
      <c r="N738" s="252"/>
      <c r="O738" s="252"/>
    </row>
    <row r="739" spans="1:15" hidden="1">
      <c r="A739" s="251">
        <v>45772</v>
      </c>
      <c r="B739" s="252" t="s">
        <v>1366</v>
      </c>
      <c r="C739" s="258" t="s">
        <v>176</v>
      </c>
      <c r="D739" s="253" t="s">
        <v>116</v>
      </c>
      <c r="E739" s="254">
        <v>50000</v>
      </c>
      <c r="F739" s="254">
        <v>85.776682123624781</v>
      </c>
      <c r="G739" s="255">
        <v>582.90899999999999</v>
      </c>
      <c r="H739" s="256" t="s">
        <v>192</v>
      </c>
      <c r="I739" s="256" t="s">
        <v>1367</v>
      </c>
      <c r="J739" s="256" t="s">
        <v>97</v>
      </c>
      <c r="K739" s="269" t="s">
        <v>1903</v>
      </c>
      <c r="L739" s="256" t="s">
        <v>154</v>
      </c>
      <c r="M739" s="252"/>
      <c r="N739" s="252"/>
      <c r="O739" s="252"/>
    </row>
    <row r="740" spans="1:15" hidden="1">
      <c r="A740" s="251">
        <v>45772</v>
      </c>
      <c r="B740" s="252" t="s">
        <v>1368</v>
      </c>
      <c r="C740" s="252" t="s">
        <v>173</v>
      </c>
      <c r="D740" s="253" t="s">
        <v>116</v>
      </c>
      <c r="E740" s="254">
        <v>20000</v>
      </c>
      <c r="F740" s="254">
        <v>34.310672849449915</v>
      </c>
      <c r="G740" s="255">
        <v>582.90899999999999</v>
      </c>
      <c r="H740" s="256" t="s">
        <v>192</v>
      </c>
      <c r="I740" s="256" t="s">
        <v>1369</v>
      </c>
      <c r="J740" s="256" t="s">
        <v>97</v>
      </c>
      <c r="K740" s="269" t="s">
        <v>1903</v>
      </c>
      <c r="L740" s="256" t="s">
        <v>154</v>
      </c>
      <c r="M740" s="252"/>
      <c r="N740" s="252"/>
      <c r="O740" s="252"/>
    </row>
    <row r="741" spans="1:15" hidden="1">
      <c r="A741" s="251">
        <v>45772</v>
      </c>
      <c r="B741" s="252" t="s">
        <v>1370</v>
      </c>
      <c r="C741" s="258" t="s">
        <v>176</v>
      </c>
      <c r="D741" s="253" t="s">
        <v>116</v>
      </c>
      <c r="E741" s="254">
        <v>50000</v>
      </c>
      <c r="F741" s="254">
        <v>85.776682123624781</v>
      </c>
      <c r="G741" s="255">
        <v>582.90899999999999</v>
      </c>
      <c r="H741" s="256" t="s">
        <v>192</v>
      </c>
      <c r="I741" s="256" t="s">
        <v>1371</v>
      </c>
      <c r="J741" s="256" t="s">
        <v>97</v>
      </c>
      <c r="K741" s="269" t="s">
        <v>1903</v>
      </c>
      <c r="L741" s="256" t="s">
        <v>154</v>
      </c>
      <c r="M741" s="252"/>
      <c r="N741" s="252"/>
      <c r="O741" s="252"/>
    </row>
    <row r="742" spans="1:15" hidden="1">
      <c r="A742" s="251">
        <v>45772</v>
      </c>
      <c r="B742" s="252" t="s">
        <v>798</v>
      </c>
      <c r="C742" s="259" t="s">
        <v>2087</v>
      </c>
      <c r="D742" s="252" t="s">
        <v>117</v>
      </c>
      <c r="E742" s="254">
        <v>3253</v>
      </c>
      <c r="F742" s="254">
        <v>5.5806309389630284</v>
      </c>
      <c r="G742" s="255">
        <v>582.90899999999999</v>
      </c>
      <c r="H742" s="256" t="s">
        <v>192</v>
      </c>
      <c r="I742" s="256" t="s">
        <v>1372</v>
      </c>
      <c r="J742" s="256" t="s">
        <v>97</v>
      </c>
      <c r="K742" s="269" t="s">
        <v>1903</v>
      </c>
      <c r="L742" s="256" t="s">
        <v>154</v>
      </c>
      <c r="M742" s="252"/>
      <c r="N742" s="252"/>
      <c r="O742" s="252"/>
    </row>
    <row r="743" spans="1:15" hidden="1">
      <c r="A743" s="251">
        <v>45772</v>
      </c>
      <c r="B743" s="252" t="s">
        <v>1499</v>
      </c>
      <c r="C743" s="252" t="s">
        <v>126</v>
      </c>
      <c r="D743" s="252" t="s">
        <v>118</v>
      </c>
      <c r="E743" s="254">
        <v>1311000</v>
      </c>
      <c r="F743" s="254">
        <v>2249.0646052814418</v>
      </c>
      <c r="G743" s="255">
        <v>582.90899999999999</v>
      </c>
      <c r="H743" s="256" t="s">
        <v>147</v>
      </c>
      <c r="I743" s="256" t="s">
        <v>1456</v>
      </c>
      <c r="J743" s="256" t="s">
        <v>97</v>
      </c>
      <c r="K743" s="269" t="s">
        <v>1903</v>
      </c>
      <c r="L743" s="256" t="s">
        <v>154</v>
      </c>
      <c r="M743" s="252"/>
      <c r="N743" s="252"/>
      <c r="O743" s="252"/>
    </row>
    <row r="744" spans="1:15" hidden="1">
      <c r="A744" s="251">
        <v>45772</v>
      </c>
      <c r="B744" s="252" t="s">
        <v>1500</v>
      </c>
      <c r="C744" s="252" t="s">
        <v>126</v>
      </c>
      <c r="D744" s="252" t="s">
        <v>117</v>
      </c>
      <c r="E744" s="254">
        <v>230000</v>
      </c>
      <c r="F744" s="254">
        <v>394.57273776867402</v>
      </c>
      <c r="G744" s="255">
        <v>582.90899999999999</v>
      </c>
      <c r="H744" s="256" t="s">
        <v>147</v>
      </c>
      <c r="I744" s="256" t="s">
        <v>1457</v>
      </c>
      <c r="J744" s="256" t="s">
        <v>97</v>
      </c>
      <c r="K744" s="269" t="s">
        <v>1903</v>
      </c>
      <c r="L744" s="256" t="s">
        <v>154</v>
      </c>
      <c r="M744" s="252"/>
      <c r="N744" s="252"/>
      <c r="O744" s="252"/>
    </row>
    <row r="745" spans="1:15" hidden="1">
      <c r="A745" s="251">
        <v>45772</v>
      </c>
      <c r="B745" s="252" t="s">
        <v>1501</v>
      </c>
      <c r="C745" s="252" t="s">
        <v>126</v>
      </c>
      <c r="D745" s="253" t="s">
        <v>116</v>
      </c>
      <c r="E745" s="254">
        <v>200000</v>
      </c>
      <c r="F745" s="254">
        <v>343.10672849449912</v>
      </c>
      <c r="G745" s="255">
        <v>582.90899999999999</v>
      </c>
      <c r="H745" s="256" t="s">
        <v>147</v>
      </c>
      <c r="I745" s="256" t="s">
        <v>1459</v>
      </c>
      <c r="J745" s="256" t="s">
        <v>97</v>
      </c>
      <c r="K745" s="269" t="s">
        <v>1903</v>
      </c>
      <c r="L745" s="256" t="s">
        <v>154</v>
      </c>
      <c r="M745" s="252"/>
      <c r="N745" s="252"/>
      <c r="O745" s="252"/>
    </row>
    <row r="746" spans="1:15" hidden="1">
      <c r="A746" s="251">
        <v>45772</v>
      </c>
      <c r="B746" s="252" t="s">
        <v>1470</v>
      </c>
      <c r="C746" s="252" t="s">
        <v>126</v>
      </c>
      <c r="D746" s="253" t="s">
        <v>116</v>
      </c>
      <c r="E746" s="254">
        <v>200000</v>
      </c>
      <c r="F746" s="254">
        <v>343.10672849449912</v>
      </c>
      <c r="G746" s="255">
        <v>582.90899999999999</v>
      </c>
      <c r="H746" s="256" t="s">
        <v>147</v>
      </c>
      <c r="I746" s="256" t="s">
        <v>1460</v>
      </c>
      <c r="J746" s="256" t="s">
        <v>97</v>
      </c>
      <c r="K746" s="269" t="s">
        <v>1903</v>
      </c>
      <c r="L746" s="256" t="s">
        <v>154</v>
      </c>
      <c r="M746" s="252"/>
      <c r="N746" s="252"/>
      <c r="O746" s="252"/>
    </row>
    <row r="747" spans="1:15" hidden="1">
      <c r="A747" s="251">
        <v>45772</v>
      </c>
      <c r="B747" s="252" t="s">
        <v>1435</v>
      </c>
      <c r="C747" s="252" t="s">
        <v>126</v>
      </c>
      <c r="D747" s="253" t="s">
        <v>116</v>
      </c>
      <c r="E747" s="254">
        <v>551482</v>
      </c>
      <c r="F747" s="254">
        <v>946.08592421801688</v>
      </c>
      <c r="G747" s="255">
        <v>582.90899999999999</v>
      </c>
      <c r="H747" s="256" t="s">
        <v>147</v>
      </c>
      <c r="I747" s="256" t="s">
        <v>1461</v>
      </c>
      <c r="J747" s="256" t="s">
        <v>97</v>
      </c>
      <c r="K747" s="269" t="s">
        <v>1903</v>
      </c>
      <c r="L747" s="256" t="s">
        <v>154</v>
      </c>
      <c r="M747" s="252"/>
      <c r="N747" s="252"/>
      <c r="O747" s="252"/>
    </row>
    <row r="748" spans="1:15" hidden="1">
      <c r="A748" s="251">
        <v>45772</v>
      </c>
      <c r="B748" s="252" t="s">
        <v>1437</v>
      </c>
      <c r="C748" s="252" t="s">
        <v>126</v>
      </c>
      <c r="D748" s="253" t="s">
        <v>116</v>
      </c>
      <c r="E748" s="254">
        <v>300000</v>
      </c>
      <c r="F748" s="254">
        <v>514.66009274174871</v>
      </c>
      <c r="G748" s="255">
        <v>582.90899999999999</v>
      </c>
      <c r="H748" s="256" t="s">
        <v>147</v>
      </c>
      <c r="I748" s="256" t="s">
        <v>1463</v>
      </c>
      <c r="J748" s="256" t="s">
        <v>97</v>
      </c>
      <c r="K748" s="269" t="s">
        <v>1903</v>
      </c>
      <c r="L748" s="256" t="s">
        <v>154</v>
      </c>
      <c r="M748" s="252"/>
      <c r="N748" s="252"/>
      <c r="O748" s="252"/>
    </row>
    <row r="749" spans="1:15" hidden="1">
      <c r="A749" s="251">
        <v>45772</v>
      </c>
      <c r="B749" s="252" t="s">
        <v>1481</v>
      </c>
      <c r="C749" s="252" t="s">
        <v>127</v>
      </c>
      <c r="D749" s="252" t="s">
        <v>117</v>
      </c>
      <c r="E749" s="254">
        <v>10665</v>
      </c>
      <c r="F749" s="254">
        <v>18.296166296969169</v>
      </c>
      <c r="G749" s="255">
        <v>582.90899999999999</v>
      </c>
      <c r="H749" s="256" t="s">
        <v>147</v>
      </c>
      <c r="I749" s="256" t="s">
        <v>1467</v>
      </c>
      <c r="J749" s="256" t="s">
        <v>97</v>
      </c>
      <c r="K749" s="269" t="s">
        <v>1903</v>
      </c>
      <c r="L749" s="256" t="s">
        <v>154</v>
      </c>
      <c r="M749" s="252"/>
      <c r="N749" s="252"/>
      <c r="O749" s="252"/>
    </row>
    <row r="750" spans="1:15" hidden="1">
      <c r="A750" s="251">
        <v>45773</v>
      </c>
      <c r="B750" s="252" t="s">
        <v>1336</v>
      </c>
      <c r="C750" s="252" t="s">
        <v>173</v>
      </c>
      <c r="D750" s="253" t="s">
        <v>116</v>
      </c>
      <c r="E750" s="254">
        <v>7000</v>
      </c>
      <c r="F750" s="254">
        <v>12.00873549730747</v>
      </c>
      <c r="G750" s="255">
        <v>582.90899999999999</v>
      </c>
      <c r="H750" s="256" t="s">
        <v>192</v>
      </c>
      <c r="I750" s="256" t="s">
        <v>1373</v>
      </c>
      <c r="J750" s="256" t="s">
        <v>97</v>
      </c>
      <c r="K750" s="269" t="s">
        <v>1903</v>
      </c>
      <c r="L750" s="256" t="s">
        <v>154</v>
      </c>
      <c r="M750" s="252"/>
      <c r="N750" s="252"/>
      <c r="O750" s="252"/>
    </row>
    <row r="751" spans="1:15" hidden="1">
      <c r="A751" s="251">
        <v>45774</v>
      </c>
      <c r="B751" s="252" t="s">
        <v>1397</v>
      </c>
      <c r="C751" s="252" t="s">
        <v>195</v>
      </c>
      <c r="D751" s="253" t="s">
        <v>116</v>
      </c>
      <c r="E751" s="254">
        <v>7000</v>
      </c>
      <c r="F751" s="254">
        <v>12.00873549730747</v>
      </c>
      <c r="G751" s="255">
        <v>582.90899999999999</v>
      </c>
      <c r="H751" s="256" t="s">
        <v>196</v>
      </c>
      <c r="I751" s="256" t="s">
        <v>1398</v>
      </c>
      <c r="J751" s="256" t="s">
        <v>97</v>
      </c>
      <c r="K751" s="269" t="s">
        <v>1903</v>
      </c>
      <c r="L751" s="256" t="s">
        <v>154</v>
      </c>
      <c r="M751" s="252"/>
      <c r="N751" s="252"/>
      <c r="O751" s="252"/>
    </row>
    <row r="752" spans="1:15" hidden="1">
      <c r="A752" s="251">
        <v>45775</v>
      </c>
      <c r="B752" s="252" t="s">
        <v>1438</v>
      </c>
      <c r="C752" s="258" t="s">
        <v>125</v>
      </c>
      <c r="D752" s="252" t="s">
        <v>117</v>
      </c>
      <c r="E752" s="254">
        <v>500000</v>
      </c>
      <c r="F752" s="254">
        <v>857.76682123624789</v>
      </c>
      <c r="G752" s="255">
        <v>582.90899999999999</v>
      </c>
      <c r="H752" s="256" t="s">
        <v>147</v>
      </c>
      <c r="I752" s="256" t="s">
        <v>1467</v>
      </c>
      <c r="J752" s="256" t="s">
        <v>97</v>
      </c>
      <c r="K752" s="269" t="s">
        <v>1903</v>
      </c>
      <c r="L752" s="256" t="s">
        <v>154</v>
      </c>
      <c r="M752" s="252"/>
      <c r="N752" s="252"/>
      <c r="O752" s="252"/>
    </row>
    <row r="753" spans="1:15" hidden="1">
      <c r="A753" s="251">
        <v>45775</v>
      </c>
      <c r="B753" s="252" t="s">
        <v>1248</v>
      </c>
      <c r="C753" s="252" t="s">
        <v>303</v>
      </c>
      <c r="D753" s="252" t="s">
        <v>117</v>
      </c>
      <c r="E753" s="254">
        <v>20000</v>
      </c>
      <c r="F753" s="254">
        <v>34.310672849449915</v>
      </c>
      <c r="G753" s="255">
        <v>582.90899999999999</v>
      </c>
      <c r="H753" s="256" t="s">
        <v>583</v>
      </c>
      <c r="I753" s="256" t="s">
        <v>1249</v>
      </c>
      <c r="J753" s="256" t="s">
        <v>97</v>
      </c>
      <c r="K753" s="269" t="s">
        <v>1903</v>
      </c>
      <c r="L753" s="256" t="s">
        <v>154</v>
      </c>
      <c r="M753" s="252"/>
      <c r="N753" s="252"/>
      <c r="O753" s="252"/>
    </row>
    <row r="754" spans="1:15" hidden="1">
      <c r="A754" s="251">
        <v>45775</v>
      </c>
      <c r="B754" s="252" t="s">
        <v>1901</v>
      </c>
      <c r="C754" s="252" t="s">
        <v>303</v>
      </c>
      <c r="D754" s="252" t="s">
        <v>117</v>
      </c>
      <c r="E754" s="254">
        <v>75625</v>
      </c>
      <c r="F754" s="254">
        <v>129.7372317119825</v>
      </c>
      <c r="G754" s="255">
        <v>582.90899999999999</v>
      </c>
      <c r="H754" s="256" t="s">
        <v>583</v>
      </c>
      <c r="I754" s="256" t="s">
        <v>1250</v>
      </c>
      <c r="J754" s="256" t="s">
        <v>97</v>
      </c>
      <c r="K754" s="269" t="s">
        <v>1903</v>
      </c>
      <c r="L754" s="256" t="s">
        <v>154</v>
      </c>
      <c r="M754" s="252"/>
      <c r="N754" s="252"/>
      <c r="O754" s="252"/>
    </row>
    <row r="755" spans="1:15" hidden="1">
      <c r="A755" s="251">
        <v>45775</v>
      </c>
      <c r="B755" s="252" t="s">
        <v>1497</v>
      </c>
      <c r="C755" s="258" t="s">
        <v>176</v>
      </c>
      <c r="D755" s="253" t="s">
        <v>116</v>
      </c>
      <c r="E755" s="254">
        <v>20000</v>
      </c>
      <c r="F755" s="254">
        <v>34.310672849449915</v>
      </c>
      <c r="G755" s="255">
        <v>582.90899999999999</v>
      </c>
      <c r="H755" s="256" t="s">
        <v>192</v>
      </c>
      <c r="I755" s="256" t="s">
        <v>1374</v>
      </c>
      <c r="J755" s="256" t="s">
        <v>97</v>
      </c>
      <c r="K755" s="269" t="s">
        <v>1903</v>
      </c>
      <c r="L755" s="256" t="s">
        <v>154</v>
      </c>
      <c r="M755" s="252"/>
      <c r="N755" s="252"/>
      <c r="O755" s="252"/>
    </row>
    <row r="756" spans="1:15" hidden="1">
      <c r="A756" s="251">
        <v>45775</v>
      </c>
      <c r="B756" s="252" t="s">
        <v>1399</v>
      </c>
      <c r="C756" s="258" t="s">
        <v>176</v>
      </c>
      <c r="D756" s="253" t="s">
        <v>116</v>
      </c>
      <c r="E756" s="254">
        <v>20000</v>
      </c>
      <c r="F756" s="254">
        <v>34.310672849449915</v>
      </c>
      <c r="G756" s="255">
        <v>582.90899999999999</v>
      </c>
      <c r="H756" s="256" t="s">
        <v>196</v>
      </c>
      <c r="I756" s="256" t="s">
        <v>1400</v>
      </c>
      <c r="J756" s="256" t="s">
        <v>97</v>
      </c>
      <c r="K756" s="269" t="s">
        <v>1903</v>
      </c>
      <c r="L756" s="256" t="s">
        <v>154</v>
      </c>
      <c r="M756" s="252"/>
      <c r="N756" s="252"/>
      <c r="O756" s="252"/>
    </row>
    <row r="757" spans="1:15" hidden="1">
      <c r="A757" s="251">
        <v>45775</v>
      </c>
      <c r="B757" s="252" t="s">
        <v>1413</v>
      </c>
      <c r="C757" s="252" t="s">
        <v>173</v>
      </c>
      <c r="D757" s="252" t="s">
        <v>119</v>
      </c>
      <c r="E757" s="254">
        <v>41900</v>
      </c>
      <c r="F757" s="254">
        <v>71.880859619597572</v>
      </c>
      <c r="G757" s="255">
        <v>582.90899999999999</v>
      </c>
      <c r="H757" s="256" t="s">
        <v>212</v>
      </c>
      <c r="I757" s="256" t="s">
        <v>1414</v>
      </c>
      <c r="J757" s="256" t="s">
        <v>97</v>
      </c>
      <c r="K757" s="269" t="s">
        <v>1903</v>
      </c>
      <c r="L757" s="256" t="s">
        <v>154</v>
      </c>
      <c r="M757" s="252"/>
      <c r="N757" s="252"/>
      <c r="O757" s="252"/>
    </row>
    <row r="758" spans="1:15" hidden="1">
      <c r="A758" s="251">
        <v>45775</v>
      </c>
      <c r="B758" s="252" t="s">
        <v>1419</v>
      </c>
      <c r="C758" s="258" t="s">
        <v>2089</v>
      </c>
      <c r="D758" s="252" t="s">
        <v>119</v>
      </c>
      <c r="E758" s="254">
        <v>144000</v>
      </c>
      <c r="F758" s="254">
        <v>247.03684451603939</v>
      </c>
      <c r="G758" s="255">
        <v>582.90899999999999</v>
      </c>
      <c r="H758" s="256" t="s">
        <v>212</v>
      </c>
      <c r="I758" s="256" t="s">
        <v>1420</v>
      </c>
      <c r="J758" s="256" t="s">
        <v>97</v>
      </c>
      <c r="K758" s="269" t="s">
        <v>1903</v>
      </c>
      <c r="L758" s="256" t="s">
        <v>154</v>
      </c>
      <c r="M758" s="252"/>
      <c r="N758" s="252"/>
      <c r="O758" s="252"/>
    </row>
    <row r="759" spans="1:15" hidden="1">
      <c r="A759" s="251">
        <v>45775</v>
      </c>
      <c r="B759" s="252" t="s">
        <v>1421</v>
      </c>
      <c r="C759" s="273" t="s">
        <v>2096</v>
      </c>
      <c r="D759" s="252" t="s">
        <v>117</v>
      </c>
      <c r="E759" s="254">
        <v>27000</v>
      </c>
      <c r="F759" s="254">
        <v>46.319408346757385</v>
      </c>
      <c r="G759" s="255">
        <v>582.90899999999999</v>
      </c>
      <c r="H759" s="256" t="s">
        <v>212</v>
      </c>
      <c r="I759" s="256" t="s">
        <v>1422</v>
      </c>
      <c r="J759" s="256" t="s">
        <v>97</v>
      </c>
      <c r="K759" s="269" t="s">
        <v>1903</v>
      </c>
      <c r="L759" s="256" t="s">
        <v>154</v>
      </c>
      <c r="M759" s="252"/>
      <c r="N759" s="252"/>
      <c r="O759" s="252"/>
    </row>
    <row r="760" spans="1:15" hidden="1">
      <c r="A760" s="251">
        <v>45776</v>
      </c>
      <c r="B760" s="252" t="s">
        <v>1294</v>
      </c>
      <c r="C760" s="252" t="s">
        <v>173</v>
      </c>
      <c r="D760" s="253" t="s">
        <v>442</v>
      </c>
      <c r="E760" s="254">
        <v>59500</v>
      </c>
      <c r="F760" s="254">
        <v>102.07425172711349</v>
      </c>
      <c r="G760" s="255">
        <v>582.90899999999999</v>
      </c>
      <c r="H760" s="256" t="s">
        <v>322</v>
      </c>
      <c r="I760" s="256" t="s">
        <v>1295</v>
      </c>
      <c r="J760" s="256" t="s">
        <v>97</v>
      </c>
      <c r="K760" s="269" t="s">
        <v>1903</v>
      </c>
      <c r="L760" s="256" t="s">
        <v>154</v>
      </c>
      <c r="M760" s="252"/>
      <c r="N760" s="252"/>
      <c r="O760" s="252"/>
    </row>
    <row r="761" spans="1:15" hidden="1">
      <c r="A761" s="251">
        <v>45776</v>
      </c>
      <c r="B761" s="252" t="s">
        <v>1504</v>
      </c>
      <c r="C761" s="252" t="s">
        <v>1375</v>
      </c>
      <c r="D761" s="253" t="s">
        <v>116</v>
      </c>
      <c r="E761" s="254">
        <v>40000</v>
      </c>
      <c r="F761" s="254">
        <v>68.62134569889983</v>
      </c>
      <c r="G761" s="255">
        <v>582.90899999999999</v>
      </c>
      <c r="H761" s="256" t="s">
        <v>192</v>
      </c>
      <c r="I761" s="256" t="s">
        <v>1376</v>
      </c>
      <c r="J761" s="256" t="s">
        <v>97</v>
      </c>
      <c r="K761" s="269" t="s">
        <v>1903</v>
      </c>
      <c r="L761" s="256" t="s">
        <v>154</v>
      </c>
      <c r="M761" s="252"/>
      <c r="N761" s="252"/>
      <c r="O761" s="252"/>
    </row>
    <row r="762" spans="1:15" hidden="1">
      <c r="A762" s="251">
        <v>45776</v>
      </c>
      <c r="B762" s="252" t="s">
        <v>1505</v>
      </c>
      <c r="C762" s="252" t="s">
        <v>173</v>
      </c>
      <c r="D762" s="253" t="s">
        <v>116</v>
      </c>
      <c r="E762" s="254">
        <v>7000</v>
      </c>
      <c r="F762" s="254">
        <v>12.00873549730747</v>
      </c>
      <c r="G762" s="255">
        <v>582.90899999999999</v>
      </c>
      <c r="H762" s="256" t="s">
        <v>192</v>
      </c>
      <c r="I762" s="256" t="s">
        <v>1377</v>
      </c>
      <c r="J762" s="256" t="s">
        <v>97</v>
      </c>
      <c r="K762" s="269" t="s">
        <v>1903</v>
      </c>
      <c r="L762" s="256" t="s">
        <v>154</v>
      </c>
      <c r="M762" s="252"/>
      <c r="N762" s="252"/>
      <c r="O762" s="252"/>
    </row>
    <row r="763" spans="1:15" hidden="1">
      <c r="A763" s="251">
        <v>45776</v>
      </c>
      <c r="B763" s="252" t="s">
        <v>1498</v>
      </c>
      <c r="C763" s="258" t="s">
        <v>176</v>
      </c>
      <c r="D763" s="253" t="s">
        <v>116</v>
      </c>
      <c r="E763" s="254">
        <v>30000</v>
      </c>
      <c r="F763" s="254">
        <v>51.466009274174873</v>
      </c>
      <c r="G763" s="255">
        <v>582.90899999999999</v>
      </c>
      <c r="H763" s="256" t="s">
        <v>192</v>
      </c>
      <c r="I763" s="256" t="s">
        <v>1378</v>
      </c>
      <c r="J763" s="256" t="s">
        <v>97</v>
      </c>
      <c r="K763" s="269" t="s">
        <v>1903</v>
      </c>
      <c r="L763" s="256" t="s">
        <v>154</v>
      </c>
      <c r="M763" s="252"/>
      <c r="N763" s="252"/>
      <c r="O763" s="252"/>
    </row>
    <row r="764" spans="1:15" hidden="1">
      <c r="A764" s="251">
        <v>45776</v>
      </c>
      <c r="B764" s="252" t="s">
        <v>1436</v>
      </c>
      <c r="C764" s="252" t="s">
        <v>126</v>
      </c>
      <c r="D764" s="252" t="s">
        <v>119</v>
      </c>
      <c r="E764" s="254">
        <v>453388</v>
      </c>
      <c r="F764" s="254">
        <v>777.80236709331984</v>
      </c>
      <c r="G764" s="255">
        <v>582.90899999999999</v>
      </c>
      <c r="H764" s="256" t="s">
        <v>147</v>
      </c>
      <c r="I764" s="256" t="s">
        <v>1462</v>
      </c>
      <c r="J764" s="256" t="s">
        <v>97</v>
      </c>
      <c r="K764" s="269" t="s">
        <v>1903</v>
      </c>
      <c r="L764" s="256" t="s">
        <v>154</v>
      </c>
      <c r="M764" s="252"/>
      <c r="N764" s="252"/>
      <c r="O764" s="252"/>
    </row>
    <row r="765" spans="1:15" hidden="1">
      <c r="A765" s="271">
        <v>45777</v>
      </c>
      <c r="B765" s="252" t="s">
        <v>1401</v>
      </c>
      <c r="C765" s="252" t="s">
        <v>195</v>
      </c>
      <c r="D765" s="253" t="s">
        <v>116</v>
      </c>
      <c r="E765" s="254">
        <v>7000</v>
      </c>
      <c r="F765" s="254">
        <v>12.00873549730747</v>
      </c>
      <c r="G765" s="255">
        <v>582.90899999999999</v>
      </c>
      <c r="H765" s="256" t="s">
        <v>196</v>
      </c>
      <c r="I765" s="256" t="s">
        <v>1402</v>
      </c>
      <c r="J765" s="256" t="s">
        <v>97</v>
      </c>
      <c r="K765" s="269" t="s">
        <v>1903</v>
      </c>
      <c r="L765" s="256" t="s">
        <v>154</v>
      </c>
      <c r="M765" s="252"/>
      <c r="N765" s="252"/>
      <c r="O765" s="252"/>
    </row>
    <row r="766" spans="1:15" hidden="1">
      <c r="A766" s="251">
        <v>45777</v>
      </c>
      <c r="B766" s="252" t="s">
        <v>1167</v>
      </c>
      <c r="C766" s="252" t="s">
        <v>173</v>
      </c>
      <c r="D766" s="252" t="s">
        <v>118</v>
      </c>
      <c r="E766" s="254">
        <v>56000</v>
      </c>
      <c r="F766" s="254">
        <v>96.069883978459757</v>
      </c>
      <c r="G766" s="255">
        <v>582.90899999999999</v>
      </c>
      <c r="H766" s="256" t="s">
        <v>152</v>
      </c>
      <c r="I766" s="256" t="s">
        <v>1168</v>
      </c>
      <c r="J766" s="256" t="s">
        <v>97</v>
      </c>
      <c r="K766" s="269" t="s">
        <v>1903</v>
      </c>
      <c r="L766" s="256" t="s">
        <v>154</v>
      </c>
      <c r="M766" s="252"/>
      <c r="N766" s="252"/>
      <c r="O766" s="252"/>
    </row>
    <row r="767" spans="1:15" hidden="1">
      <c r="A767" s="251">
        <v>45777</v>
      </c>
      <c r="B767" s="252" t="s">
        <v>1182</v>
      </c>
      <c r="C767" s="252" t="s">
        <v>173</v>
      </c>
      <c r="D767" s="253" t="s">
        <v>116</v>
      </c>
      <c r="E767" s="254">
        <v>21200</v>
      </c>
      <c r="F767" s="254">
        <v>36.369313220416906</v>
      </c>
      <c r="G767" s="255">
        <v>582.90899999999999</v>
      </c>
      <c r="H767" s="256" t="s">
        <v>199</v>
      </c>
      <c r="I767" s="256" t="s">
        <v>1181</v>
      </c>
      <c r="J767" s="256" t="s">
        <v>97</v>
      </c>
      <c r="K767" s="269" t="s">
        <v>1903</v>
      </c>
      <c r="L767" s="256" t="s">
        <v>154</v>
      </c>
      <c r="M767" s="252"/>
      <c r="N767" s="252"/>
      <c r="O767" s="252"/>
    </row>
    <row r="768" spans="1:15" hidden="1">
      <c r="A768" s="251">
        <v>45777</v>
      </c>
      <c r="B768" s="252" t="s">
        <v>1251</v>
      </c>
      <c r="C768" s="252" t="s">
        <v>173</v>
      </c>
      <c r="D768" s="252" t="s">
        <v>117</v>
      </c>
      <c r="E768" s="254">
        <v>40500</v>
      </c>
      <c r="F768" s="254">
        <v>69.479112520136084</v>
      </c>
      <c r="G768" s="255">
        <v>582.90899999999999</v>
      </c>
      <c r="H768" s="256" t="s">
        <v>583</v>
      </c>
      <c r="I768" s="256" t="s">
        <v>1252</v>
      </c>
      <c r="J768" s="256" t="s">
        <v>97</v>
      </c>
      <c r="K768" s="269" t="s">
        <v>1903</v>
      </c>
      <c r="L768" s="256" t="s">
        <v>154</v>
      </c>
      <c r="M768" s="252"/>
      <c r="N768" s="252"/>
      <c r="O768" s="252"/>
    </row>
    <row r="769" spans="1:15" hidden="1">
      <c r="A769" s="251">
        <v>45777</v>
      </c>
      <c r="B769" s="252" t="s">
        <v>1253</v>
      </c>
      <c r="C769" s="252" t="s">
        <v>626</v>
      </c>
      <c r="D769" s="252" t="s">
        <v>117</v>
      </c>
      <c r="E769" s="254">
        <v>45050</v>
      </c>
      <c r="F769" s="254">
        <v>77.284790593385935</v>
      </c>
      <c r="G769" s="255">
        <v>582.90899999999999</v>
      </c>
      <c r="H769" s="256" t="s">
        <v>583</v>
      </c>
      <c r="I769" s="256" t="s">
        <v>1254</v>
      </c>
      <c r="J769" s="256" t="s">
        <v>97</v>
      </c>
      <c r="K769" s="269" t="s">
        <v>1903</v>
      </c>
      <c r="L769" s="256" t="s">
        <v>154</v>
      </c>
      <c r="M769" s="252"/>
      <c r="N769" s="252"/>
      <c r="O769" s="252"/>
    </row>
    <row r="770" spans="1:15" hidden="1">
      <c r="A770" s="251">
        <v>45777</v>
      </c>
      <c r="B770" s="252" t="s">
        <v>1255</v>
      </c>
      <c r="C770" s="252" t="s">
        <v>126</v>
      </c>
      <c r="D770" s="253" t="s">
        <v>989</v>
      </c>
      <c r="E770" s="254">
        <v>199400</v>
      </c>
      <c r="F770" s="254">
        <v>342.07740830901565</v>
      </c>
      <c r="G770" s="255">
        <v>582.90899999999999</v>
      </c>
      <c r="H770" s="256" t="s">
        <v>583</v>
      </c>
      <c r="I770" s="256" t="s">
        <v>1256</v>
      </c>
      <c r="J770" s="256" t="s">
        <v>97</v>
      </c>
      <c r="K770" s="269" t="s">
        <v>1903</v>
      </c>
      <c r="L770" s="256" t="s">
        <v>154</v>
      </c>
      <c r="M770" s="252"/>
      <c r="N770" s="252"/>
      <c r="O770" s="252"/>
    </row>
    <row r="771" spans="1:15" hidden="1">
      <c r="A771" s="251">
        <v>45777</v>
      </c>
      <c r="B771" s="252" t="s">
        <v>1268</v>
      </c>
      <c r="C771" s="252" t="s">
        <v>173</v>
      </c>
      <c r="D771" s="253" t="s">
        <v>442</v>
      </c>
      <c r="E771" s="254">
        <v>72100</v>
      </c>
      <c r="F771" s="254">
        <v>123.68997562226694</v>
      </c>
      <c r="G771" s="255">
        <v>582.90899999999999</v>
      </c>
      <c r="H771" s="256" t="s">
        <v>174</v>
      </c>
      <c r="I771" s="256" t="s">
        <v>1269</v>
      </c>
      <c r="J771" s="256" t="s">
        <v>97</v>
      </c>
      <c r="K771" s="269" t="s">
        <v>1903</v>
      </c>
      <c r="L771" s="256" t="s">
        <v>154</v>
      </c>
      <c r="M771" s="252"/>
      <c r="N771" s="252"/>
      <c r="O771" s="252"/>
    </row>
    <row r="772" spans="1:15" hidden="1">
      <c r="A772" s="251">
        <v>45777</v>
      </c>
      <c r="B772" s="252" t="s">
        <v>1379</v>
      </c>
      <c r="C772" s="252" t="s">
        <v>173</v>
      </c>
      <c r="D772" s="253" t="s">
        <v>116</v>
      </c>
      <c r="E772" s="254">
        <v>46800</v>
      </c>
      <c r="F772" s="254">
        <v>80.286974467712795</v>
      </c>
      <c r="G772" s="255">
        <v>582.90899999999999</v>
      </c>
      <c r="H772" s="256" t="s">
        <v>192</v>
      </c>
      <c r="I772" s="256" t="s">
        <v>1380</v>
      </c>
      <c r="J772" s="256" t="s">
        <v>97</v>
      </c>
      <c r="K772" s="269" t="s">
        <v>1903</v>
      </c>
      <c r="L772" s="256" t="s">
        <v>154</v>
      </c>
      <c r="M772" s="252"/>
      <c r="N772" s="252"/>
      <c r="O772" s="252"/>
    </row>
    <row r="773" spans="1:15" hidden="1">
      <c r="A773" s="251">
        <v>45777</v>
      </c>
      <c r="B773" s="252" t="s">
        <v>1403</v>
      </c>
      <c r="C773" s="258" t="s">
        <v>176</v>
      </c>
      <c r="D773" s="253" t="s">
        <v>116</v>
      </c>
      <c r="E773" s="254">
        <v>30000</v>
      </c>
      <c r="F773" s="254">
        <v>51.466009274174873</v>
      </c>
      <c r="G773" s="255">
        <v>582.90899999999999</v>
      </c>
      <c r="H773" s="256" t="s">
        <v>196</v>
      </c>
      <c r="I773" s="256" t="s">
        <v>1404</v>
      </c>
      <c r="J773" s="256" t="s">
        <v>97</v>
      </c>
      <c r="K773" s="269" t="s">
        <v>1903</v>
      </c>
      <c r="L773" s="256" t="s">
        <v>154</v>
      </c>
      <c r="M773" s="252"/>
      <c r="N773" s="252"/>
      <c r="O773" s="252"/>
    </row>
    <row r="774" spans="1:15" hidden="1">
      <c r="A774" s="251">
        <v>45777</v>
      </c>
      <c r="B774" s="252" t="s">
        <v>1405</v>
      </c>
      <c r="C774" s="252" t="s">
        <v>195</v>
      </c>
      <c r="D774" s="253" t="s">
        <v>116</v>
      </c>
      <c r="E774" s="254">
        <v>30000</v>
      </c>
      <c r="F774" s="254">
        <v>51.466009274174873</v>
      </c>
      <c r="G774" s="255">
        <v>582.90899999999999</v>
      </c>
      <c r="H774" s="256" t="s">
        <v>196</v>
      </c>
      <c r="I774" s="256" t="s">
        <v>1406</v>
      </c>
      <c r="J774" s="256" t="s">
        <v>97</v>
      </c>
      <c r="K774" s="269" t="s">
        <v>1903</v>
      </c>
      <c r="L774" s="256" t="s">
        <v>154</v>
      </c>
      <c r="M774" s="252"/>
      <c r="N774" s="252"/>
      <c r="O774" s="252"/>
    </row>
    <row r="775" spans="1:15" hidden="1">
      <c r="A775" s="251">
        <v>45777</v>
      </c>
      <c r="B775" s="252" t="s">
        <v>1439</v>
      </c>
      <c r="C775" s="252" t="s">
        <v>126</v>
      </c>
      <c r="D775" s="253" t="s">
        <v>442</v>
      </c>
      <c r="E775" s="254">
        <v>440000</v>
      </c>
      <c r="F775" s="254">
        <v>754.8348026878981</v>
      </c>
      <c r="G775" s="255">
        <v>582.90899999999999</v>
      </c>
      <c r="H775" s="256" t="s">
        <v>147</v>
      </c>
      <c r="I775" s="256" t="s">
        <v>1464</v>
      </c>
      <c r="J775" s="256" t="s">
        <v>97</v>
      </c>
      <c r="K775" s="269" t="s">
        <v>1903</v>
      </c>
      <c r="L775" s="256" t="s">
        <v>154</v>
      </c>
      <c r="M775" s="252"/>
      <c r="N775" s="252"/>
      <c r="O775" s="252"/>
    </row>
    <row r="776" spans="1:15" hidden="1">
      <c r="A776" s="251">
        <v>45777</v>
      </c>
      <c r="B776" s="252" t="s">
        <v>1440</v>
      </c>
      <c r="C776" s="252" t="s">
        <v>126</v>
      </c>
      <c r="D776" s="253" t="s">
        <v>442</v>
      </c>
      <c r="E776" s="254">
        <v>240000</v>
      </c>
      <c r="F776" s="254">
        <v>411.72807419339898</v>
      </c>
      <c r="G776" s="255">
        <v>582.90899999999999</v>
      </c>
      <c r="H776" s="256" t="s">
        <v>147</v>
      </c>
      <c r="I776" s="256" t="s">
        <v>1465</v>
      </c>
      <c r="J776" s="256" t="s">
        <v>97</v>
      </c>
      <c r="K776" s="269" t="s">
        <v>1903</v>
      </c>
      <c r="L776" s="256" t="s">
        <v>154</v>
      </c>
      <c r="M776" s="252"/>
      <c r="N776" s="252"/>
      <c r="O776" s="252"/>
    </row>
    <row r="777" spans="1:15" hidden="1">
      <c r="A777" s="251">
        <v>45777</v>
      </c>
      <c r="B777" s="252" t="s">
        <v>1441</v>
      </c>
      <c r="C777" s="252" t="s">
        <v>126</v>
      </c>
      <c r="D777" s="253" t="s">
        <v>442</v>
      </c>
      <c r="E777" s="254">
        <v>240000</v>
      </c>
      <c r="F777" s="254">
        <v>411.72807419339898</v>
      </c>
      <c r="G777" s="255">
        <v>582.90899999999999</v>
      </c>
      <c r="H777" s="256" t="s">
        <v>147</v>
      </c>
      <c r="I777" s="256" t="s">
        <v>1466</v>
      </c>
      <c r="J777" s="256" t="s">
        <v>97</v>
      </c>
      <c r="K777" s="269" t="s">
        <v>1903</v>
      </c>
      <c r="L777" s="256" t="s">
        <v>154</v>
      </c>
      <c r="M777" s="252"/>
      <c r="N777" s="252"/>
      <c r="O777" s="252"/>
    </row>
    <row r="778" spans="1:15" hidden="1">
      <c r="A778" s="251">
        <v>45778</v>
      </c>
      <c r="B778" s="252" t="s">
        <v>1562</v>
      </c>
      <c r="C778" s="258" t="s">
        <v>2089</v>
      </c>
      <c r="D778" s="252" t="s">
        <v>119</v>
      </c>
      <c r="E778" s="254">
        <v>124000</v>
      </c>
      <c r="F778" s="254">
        <v>213.92367065415789</v>
      </c>
      <c r="G778" s="264">
        <v>579.64599999999996</v>
      </c>
      <c r="H778" s="256" t="s">
        <v>212</v>
      </c>
      <c r="I778" s="261" t="s">
        <v>1823</v>
      </c>
      <c r="J778" s="256" t="s">
        <v>97</v>
      </c>
      <c r="K778" s="272" t="s">
        <v>201</v>
      </c>
      <c r="L778" s="256" t="s">
        <v>154</v>
      </c>
      <c r="M778" s="252"/>
      <c r="N778" s="252"/>
      <c r="O778" s="252"/>
    </row>
    <row r="779" spans="1:15" hidden="1">
      <c r="A779" s="251">
        <v>45780</v>
      </c>
      <c r="B779" s="252" t="s">
        <v>3775</v>
      </c>
      <c r="C779" s="252" t="s">
        <v>173</v>
      </c>
      <c r="D779" s="253" t="s">
        <v>442</v>
      </c>
      <c r="E779" s="254">
        <v>12000</v>
      </c>
      <c r="F779" s="254">
        <v>20.702290708466894</v>
      </c>
      <c r="G779" s="264">
        <v>579.64599999999996</v>
      </c>
      <c r="H779" s="256" t="s">
        <v>183</v>
      </c>
      <c r="I779" s="257" t="s">
        <v>1604</v>
      </c>
      <c r="J779" s="256" t="s">
        <v>97</v>
      </c>
      <c r="K779" s="272" t="s">
        <v>201</v>
      </c>
      <c r="L779" s="256" t="s">
        <v>154</v>
      </c>
      <c r="M779" s="252"/>
      <c r="N779" s="252"/>
      <c r="O779" s="252"/>
    </row>
    <row r="780" spans="1:15" hidden="1">
      <c r="A780" s="251">
        <v>45780</v>
      </c>
      <c r="B780" s="252" t="s">
        <v>3761</v>
      </c>
      <c r="C780" s="258" t="s">
        <v>176</v>
      </c>
      <c r="D780" s="253" t="s">
        <v>442</v>
      </c>
      <c r="E780" s="254">
        <v>70000</v>
      </c>
      <c r="F780" s="254">
        <v>120.76336246605688</v>
      </c>
      <c r="G780" s="264">
        <v>579.64599999999996</v>
      </c>
      <c r="H780" s="256" t="s">
        <v>183</v>
      </c>
      <c r="I780" s="257" t="s">
        <v>1605</v>
      </c>
      <c r="J780" s="256" t="s">
        <v>97</v>
      </c>
      <c r="K780" s="272" t="s">
        <v>201</v>
      </c>
      <c r="L780" s="256" t="s">
        <v>154</v>
      </c>
      <c r="M780" s="252"/>
      <c r="N780" s="252"/>
      <c r="O780" s="252"/>
    </row>
    <row r="781" spans="1:15" hidden="1">
      <c r="A781" s="251">
        <v>45780</v>
      </c>
      <c r="B781" s="252" t="s">
        <v>3879</v>
      </c>
      <c r="C781" s="252" t="s">
        <v>173</v>
      </c>
      <c r="D781" s="253" t="s">
        <v>442</v>
      </c>
      <c r="E781" s="254">
        <v>12000</v>
      </c>
      <c r="F781" s="254">
        <v>20.702290708466894</v>
      </c>
      <c r="G781" s="264">
        <v>579.64599999999996</v>
      </c>
      <c r="H781" s="256" t="s">
        <v>174</v>
      </c>
      <c r="I781" s="256" t="s">
        <v>1634</v>
      </c>
      <c r="J781" s="256" t="s">
        <v>97</v>
      </c>
      <c r="K781" s="272" t="s">
        <v>201</v>
      </c>
      <c r="L781" s="256" t="s">
        <v>154</v>
      </c>
      <c r="M781" s="252"/>
      <c r="N781" s="252"/>
      <c r="O781" s="252"/>
    </row>
    <row r="782" spans="1:15" hidden="1">
      <c r="A782" s="251">
        <v>45780</v>
      </c>
      <c r="B782" s="252" t="s">
        <v>3886</v>
      </c>
      <c r="C782" s="258" t="s">
        <v>176</v>
      </c>
      <c r="D782" s="253" t="s">
        <v>442</v>
      </c>
      <c r="E782" s="254">
        <v>70000</v>
      </c>
      <c r="F782" s="254">
        <v>120.76336246605688</v>
      </c>
      <c r="G782" s="264">
        <v>579.64599999999996</v>
      </c>
      <c r="H782" s="256" t="s">
        <v>174</v>
      </c>
      <c r="I782" s="256" t="s">
        <v>1635</v>
      </c>
      <c r="J782" s="256" t="s">
        <v>97</v>
      </c>
      <c r="K782" s="272" t="s">
        <v>201</v>
      </c>
      <c r="L782" s="256" t="s">
        <v>154</v>
      </c>
      <c r="M782" s="252"/>
      <c r="N782" s="252"/>
      <c r="O782" s="252"/>
    </row>
    <row r="783" spans="1:15" hidden="1">
      <c r="A783" s="251">
        <v>45780</v>
      </c>
      <c r="B783" s="252" t="s">
        <v>3658</v>
      </c>
      <c r="C783" s="252" t="s">
        <v>173</v>
      </c>
      <c r="D783" s="253" t="s">
        <v>442</v>
      </c>
      <c r="E783" s="254">
        <v>7000</v>
      </c>
      <c r="F783" s="254">
        <v>12.076336246605688</v>
      </c>
      <c r="G783" s="264">
        <v>579.64599999999996</v>
      </c>
      <c r="H783" s="256" t="s">
        <v>322</v>
      </c>
      <c r="I783" s="256" t="s">
        <v>1659</v>
      </c>
      <c r="J783" s="256" t="s">
        <v>97</v>
      </c>
      <c r="K783" s="272" t="s">
        <v>201</v>
      </c>
      <c r="L783" s="256" t="s">
        <v>154</v>
      </c>
      <c r="M783" s="252"/>
      <c r="N783" s="252"/>
      <c r="O783" s="252"/>
    </row>
    <row r="784" spans="1:15" hidden="1">
      <c r="A784" s="251">
        <v>45780</v>
      </c>
      <c r="B784" s="252" t="s">
        <v>3672</v>
      </c>
      <c r="C784" s="258" t="s">
        <v>176</v>
      </c>
      <c r="D784" s="253" t="s">
        <v>442</v>
      </c>
      <c r="E784" s="254">
        <v>70000</v>
      </c>
      <c r="F784" s="254">
        <v>120.76336246605688</v>
      </c>
      <c r="G784" s="264">
        <v>579.64599999999996</v>
      </c>
      <c r="H784" s="256" t="s">
        <v>322</v>
      </c>
      <c r="I784" s="256" t="s">
        <v>1660</v>
      </c>
      <c r="J784" s="256" t="s">
        <v>97</v>
      </c>
      <c r="K784" s="272" t="s">
        <v>201</v>
      </c>
      <c r="L784" s="256" t="s">
        <v>154</v>
      </c>
      <c r="M784" s="252"/>
      <c r="N784" s="252"/>
      <c r="O784" s="252"/>
    </row>
    <row r="785" spans="1:15" hidden="1">
      <c r="A785" s="251">
        <v>45780</v>
      </c>
      <c r="B785" s="252" t="s">
        <v>3658</v>
      </c>
      <c r="C785" s="252" t="s">
        <v>173</v>
      </c>
      <c r="D785" s="253" t="s">
        <v>442</v>
      </c>
      <c r="E785" s="254">
        <v>4000</v>
      </c>
      <c r="F785" s="254">
        <v>6.9007635694889649</v>
      </c>
      <c r="G785" s="264">
        <v>579.64599999999996</v>
      </c>
      <c r="H785" s="256" t="s">
        <v>322</v>
      </c>
      <c r="I785" s="256" t="s">
        <v>1661</v>
      </c>
      <c r="J785" s="256" t="s">
        <v>97</v>
      </c>
      <c r="K785" s="272" t="s">
        <v>201</v>
      </c>
      <c r="L785" s="256" t="s">
        <v>154</v>
      </c>
      <c r="M785" s="252"/>
      <c r="N785" s="252"/>
      <c r="O785" s="252"/>
    </row>
    <row r="786" spans="1:15" hidden="1">
      <c r="A786" s="251">
        <v>45782</v>
      </c>
      <c r="B786" s="252" t="s">
        <v>1528</v>
      </c>
      <c r="C786" s="252" t="s">
        <v>126</v>
      </c>
      <c r="D786" s="253" t="s">
        <v>116</v>
      </c>
      <c r="E786" s="254">
        <v>200000</v>
      </c>
      <c r="F786" s="254">
        <v>343.10696393911502</v>
      </c>
      <c r="G786" s="255">
        <v>582.90899999999999</v>
      </c>
      <c r="H786" s="256" t="s">
        <v>147</v>
      </c>
      <c r="I786" s="256" t="s">
        <v>1874</v>
      </c>
      <c r="J786" s="256" t="s">
        <v>97</v>
      </c>
      <c r="K786" s="269" t="s">
        <v>1903</v>
      </c>
      <c r="L786" s="274" t="s">
        <v>154</v>
      </c>
      <c r="M786" s="252"/>
      <c r="N786" s="252"/>
      <c r="O786" s="252"/>
    </row>
    <row r="787" spans="1:15" hidden="1">
      <c r="A787" s="251">
        <v>45782</v>
      </c>
      <c r="B787" s="252" t="s">
        <v>1581</v>
      </c>
      <c r="C787" s="252" t="s">
        <v>151</v>
      </c>
      <c r="D787" s="252" t="s">
        <v>118</v>
      </c>
      <c r="E787" s="254">
        <v>21000</v>
      </c>
      <c r="F787" s="254">
        <v>36.026231213607076</v>
      </c>
      <c r="G787" s="264">
        <v>579.64599999999996</v>
      </c>
      <c r="H787" s="256" t="s">
        <v>152</v>
      </c>
      <c r="I787" s="275" t="s">
        <v>1687</v>
      </c>
      <c r="J787" s="256" t="s">
        <v>97</v>
      </c>
      <c r="K787" s="272" t="s">
        <v>201</v>
      </c>
      <c r="L787" s="256" t="s">
        <v>154</v>
      </c>
      <c r="M787" s="252"/>
      <c r="N787" s="252"/>
      <c r="O787" s="252"/>
    </row>
    <row r="788" spans="1:15" hidden="1">
      <c r="A788" s="251">
        <v>45782</v>
      </c>
      <c r="B788" s="252" t="s">
        <v>1580</v>
      </c>
      <c r="C788" s="252" t="s">
        <v>151</v>
      </c>
      <c r="D788" s="253" t="s">
        <v>116</v>
      </c>
      <c r="E788" s="254">
        <v>16000</v>
      </c>
      <c r="F788" s="254">
        <v>27.448557115129201</v>
      </c>
      <c r="G788" s="264">
        <v>579.64599999999996</v>
      </c>
      <c r="H788" s="256" t="s">
        <v>199</v>
      </c>
      <c r="I788" s="257" t="s">
        <v>1695</v>
      </c>
      <c r="J788" s="256" t="s">
        <v>97</v>
      </c>
      <c r="K788" s="272" t="s">
        <v>201</v>
      </c>
      <c r="L788" s="256" t="s">
        <v>154</v>
      </c>
      <c r="M788" s="252"/>
      <c r="N788" s="252"/>
      <c r="O788" s="252"/>
    </row>
    <row r="789" spans="1:15" hidden="1">
      <c r="A789" s="251">
        <v>45782</v>
      </c>
      <c r="B789" s="252" t="s">
        <v>1583</v>
      </c>
      <c r="C789" s="252" t="s">
        <v>151</v>
      </c>
      <c r="D789" s="253" t="s">
        <v>116</v>
      </c>
      <c r="E789" s="254">
        <v>5000</v>
      </c>
      <c r="F789" s="254">
        <v>8.5776740984778748</v>
      </c>
      <c r="G789" s="264">
        <v>579.64599999999996</v>
      </c>
      <c r="H789" s="256" t="s">
        <v>199</v>
      </c>
      <c r="I789" s="257" t="s">
        <v>1696</v>
      </c>
      <c r="J789" s="256" t="s">
        <v>97</v>
      </c>
      <c r="K789" s="272" t="s">
        <v>201</v>
      </c>
      <c r="L789" s="256" t="s">
        <v>154</v>
      </c>
      <c r="M789" s="252"/>
      <c r="N789" s="252"/>
      <c r="O789" s="252"/>
    </row>
    <row r="790" spans="1:15" hidden="1">
      <c r="A790" s="251">
        <v>45782</v>
      </c>
      <c r="B790" s="252" t="s">
        <v>1697</v>
      </c>
      <c r="C790" s="252" t="s">
        <v>126</v>
      </c>
      <c r="D790" s="253" t="s">
        <v>116</v>
      </c>
      <c r="E790" s="254">
        <v>30000</v>
      </c>
      <c r="F790" s="254">
        <v>51.466044590867249</v>
      </c>
      <c r="G790" s="255">
        <v>582.90899999999999</v>
      </c>
      <c r="H790" s="256" t="s">
        <v>199</v>
      </c>
      <c r="I790" s="261" t="s">
        <v>1694</v>
      </c>
      <c r="J790" s="256" t="s">
        <v>97</v>
      </c>
      <c r="K790" s="269" t="s">
        <v>1903</v>
      </c>
      <c r="L790" s="274" t="s">
        <v>154</v>
      </c>
      <c r="M790" s="252"/>
      <c r="N790" s="252"/>
      <c r="O790" s="252"/>
    </row>
    <row r="791" spans="1:15" hidden="1">
      <c r="A791" s="251">
        <v>45782</v>
      </c>
      <c r="B791" s="252" t="s">
        <v>1534</v>
      </c>
      <c r="C791" s="259" t="s">
        <v>2087</v>
      </c>
      <c r="D791" s="252" t="s">
        <v>117</v>
      </c>
      <c r="E791" s="254">
        <v>3225</v>
      </c>
      <c r="F791" s="254">
        <v>5.5325997935182292</v>
      </c>
      <c r="G791" s="264">
        <v>579.64599999999996</v>
      </c>
      <c r="H791" s="256" t="s">
        <v>583</v>
      </c>
      <c r="I791" s="256" t="s">
        <v>1726</v>
      </c>
      <c r="J791" s="256" t="s">
        <v>97</v>
      </c>
      <c r="K791" s="272" t="s">
        <v>201</v>
      </c>
      <c r="L791" s="256" t="s">
        <v>154</v>
      </c>
      <c r="M791" s="252"/>
      <c r="N791" s="252"/>
      <c r="O791" s="252"/>
    </row>
    <row r="792" spans="1:15" hidden="1">
      <c r="A792" s="251">
        <v>45782</v>
      </c>
      <c r="B792" s="252" t="s">
        <v>1740</v>
      </c>
      <c r="C792" s="252" t="s">
        <v>126</v>
      </c>
      <c r="D792" s="252" t="s">
        <v>117</v>
      </c>
      <c r="E792" s="254">
        <v>30000</v>
      </c>
      <c r="F792" s="254">
        <v>51.466044590867249</v>
      </c>
      <c r="G792" s="255">
        <v>582.90899999999999</v>
      </c>
      <c r="H792" s="256" t="s">
        <v>583</v>
      </c>
      <c r="I792" s="261" t="s">
        <v>1727</v>
      </c>
      <c r="J792" s="256" t="s">
        <v>97</v>
      </c>
      <c r="K792" s="269" t="s">
        <v>1903</v>
      </c>
      <c r="L792" s="274" t="s">
        <v>154</v>
      </c>
      <c r="M792" s="252"/>
      <c r="N792" s="252"/>
      <c r="O792" s="252"/>
    </row>
    <row r="793" spans="1:15" hidden="1">
      <c r="A793" s="251">
        <v>45782</v>
      </c>
      <c r="B793" s="252" t="s">
        <v>1582</v>
      </c>
      <c r="C793" s="252" t="s">
        <v>151</v>
      </c>
      <c r="D793" s="252" t="s">
        <v>1567</v>
      </c>
      <c r="E793" s="254">
        <v>21000</v>
      </c>
      <c r="F793" s="254">
        <v>36.026231213607076</v>
      </c>
      <c r="G793" s="264">
        <v>579.64599999999996</v>
      </c>
      <c r="H793" s="256" t="s">
        <v>583</v>
      </c>
      <c r="I793" s="256" t="s">
        <v>1741</v>
      </c>
      <c r="J793" s="256" t="s">
        <v>97</v>
      </c>
      <c r="K793" s="272" t="s">
        <v>201</v>
      </c>
      <c r="L793" s="256" t="s">
        <v>154</v>
      </c>
      <c r="M793" s="252"/>
      <c r="N793" s="252"/>
      <c r="O793" s="252"/>
    </row>
    <row r="794" spans="1:15" hidden="1">
      <c r="A794" s="251">
        <v>45782</v>
      </c>
      <c r="B794" s="252" t="s">
        <v>1564</v>
      </c>
      <c r="C794" s="252" t="s">
        <v>151</v>
      </c>
      <c r="D794" s="253" t="s">
        <v>442</v>
      </c>
      <c r="E794" s="254">
        <v>10000</v>
      </c>
      <c r="F794" s="254">
        <v>17.15534819695575</v>
      </c>
      <c r="G794" s="264">
        <v>579.64599999999996</v>
      </c>
      <c r="H794" s="256" t="s">
        <v>183</v>
      </c>
      <c r="I794" s="257" t="s">
        <v>1628</v>
      </c>
      <c r="J794" s="256" t="s">
        <v>97</v>
      </c>
      <c r="K794" s="272" t="s">
        <v>201</v>
      </c>
      <c r="L794" s="256" t="s">
        <v>154</v>
      </c>
      <c r="M794" s="252"/>
      <c r="N794" s="252"/>
      <c r="O794" s="252"/>
    </row>
    <row r="795" spans="1:15" hidden="1">
      <c r="A795" s="251">
        <v>45782</v>
      </c>
      <c r="B795" s="252" t="s">
        <v>1566</v>
      </c>
      <c r="C795" s="252" t="s">
        <v>151</v>
      </c>
      <c r="D795" s="253" t="s">
        <v>442</v>
      </c>
      <c r="E795" s="254">
        <v>16000</v>
      </c>
      <c r="F795" s="254">
        <v>27.448557115129201</v>
      </c>
      <c r="G795" s="264">
        <v>579.64599999999996</v>
      </c>
      <c r="H795" s="256" t="s">
        <v>183</v>
      </c>
      <c r="I795" s="257" t="s">
        <v>1629</v>
      </c>
      <c r="J795" s="256" t="s">
        <v>97</v>
      </c>
      <c r="K795" s="272" t="s">
        <v>201</v>
      </c>
      <c r="L795" s="256" t="s">
        <v>154</v>
      </c>
      <c r="M795" s="252"/>
      <c r="N795" s="252"/>
      <c r="O795" s="252"/>
    </row>
    <row r="796" spans="1:15" hidden="1">
      <c r="A796" s="251">
        <v>45782</v>
      </c>
      <c r="B796" s="252" t="s">
        <v>1564</v>
      </c>
      <c r="C796" s="252" t="s">
        <v>151</v>
      </c>
      <c r="D796" s="253" t="s">
        <v>442</v>
      </c>
      <c r="E796" s="254">
        <v>26000</v>
      </c>
      <c r="F796" s="254">
        <v>44.603905312084947</v>
      </c>
      <c r="G796" s="264">
        <v>579.64599999999996</v>
      </c>
      <c r="H796" s="256" t="s">
        <v>174</v>
      </c>
      <c r="I796" s="256" t="s">
        <v>1656</v>
      </c>
      <c r="J796" s="256" t="s">
        <v>97</v>
      </c>
      <c r="K796" s="272" t="s">
        <v>201</v>
      </c>
      <c r="L796" s="256" t="s">
        <v>154</v>
      </c>
      <c r="M796" s="252"/>
      <c r="N796" s="252"/>
      <c r="O796" s="252"/>
    </row>
    <row r="797" spans="1:15" hidden="1">
      <c r="A797" s="251">
        <v>45782</v>
      </c>
      <c r="B797" s="252" t="s">
        <v>1563</v>
      </c>
      <c r="C797" s="252" t="s">
        <v>151</v>
      </c>
      <c r="D797" s="253" t="s">
        <v>442</v>
      </c>
      <c r="E797" s="254">
        <v>26000</v>
      </c>
      <c r="F797" s="254">
        <v>44.603905312084947</v>
      </c>
      <c r="G797" s="264">
        <v>579.64599999999996</v>
      </c>
      <c r="H797" s="256" t="s">
        <v>322</v>
      </c>
      <c r="I797" s="256" t="s">
        <v>1683</v>
      </c>
      <c r="J797" s="256" t="s">
        <v>97</v>
      </c>
      <c r="K797" s="272" t="s">
        <v>201</v>
      </c>
      <c r="L797" s="256" t="s">
        <v>154</v>
      </c>
      <c r="M797" s="252"/>
      <c r="N797" s="252"/>
      <c r="O797" s="252"/>
    </row>
    <row r="798" spans="1:15" hidden="1">
      <c r="A798" s="251">
        <v>45782</v>
      </c>
      <c r="B798" s="252" t="s">
        <v>1580</v>
      </c>
      <c r="C798" s="252" t="s">
        <v>151</v>
      </c>
      <c r="D798" s="253" t="s">
        <v>116</v>
      </c>
      <c r="E798" s="254">
        <v>16000</v>
      </c>
      <c r="F798" s="254">
        <v>27.448557115129201</v>
      </c>
      <c r="G798" s="264">
        <v>579.64599999999996</v>
      </c>
      <c r="H798" s="256" t="s">
        <v>189</v>
      </c>
      <c r="I798" s="256" t="s">
        <v>1753</v>
      </c>
      <c r="J798" s="256" t="s">
        <v>97</v>
      </c>
      <c r="K798" s="272" t="s">
        <v>201</v>
      </c>
      <c r="L798" s="256" t="s">
        <v>154</v>
      </c>
      <c r="M798" s="252"/>
      <c r="N798" s="252"/>
      <c r="O798" s="252"/>
    </row>
    <row r="799" spans="1:15" hidden="1">
      <c r="A799" s="251">
        <v>45782</v>
      </c>
      <c r="B799" s="252" t="s">
        <v>1565</v>
      </c>
      <c r="C799" s="252" t="s">
        <v>151</v>
      </c>
      <c r="D799" s="253" t="s">
        <v>116</v>
      </c>
      <c r="E799" s="254">
        <v>5000</v>
      </c>
      <c r="F799" s="254">
        <v>8.5776740984778748</v>
      </c>
      <c r="G799" s="264">
        <v>579.64599999999996</v>
      </c>
      <c r="H799" s="256" t="s">
        <v>189</v>
      </c>
      <c r="I799" s="256" t="s">
        <v>1754</v>
      </c>
      <c r="J799" s="256" t="s">
        <v>97</v>
      </c>
      <c r="K799" s="272" t="s">
        <v>201</v>
      </c>
      <c r="L799" s="256" t="s">
        <v>154</v>
      </c>
      <c r="M799" s="252"/>
      <c r="N799" s="252"/>
      <c r="O799" s="252"/>
    </row>
    <row r="800" spans="1:15" hidden="1">
      <c r="A800" s="251">
        <v>45782</v>
      </c>
      <c r="B800" s="252" t="s">
        <v>1535</v>
      </c>
      <c r="C800" s="259" t="s">
        <v>2087</v>
      </c>
      <c r="D800" s="252" t="s">
        <v>117</v>
      </c>
      <c r="E800" s="254">
        <v>4960</v>
      </c>
      <c r="F800" s="254">
        <v>8.5090527056900527</v>
      </c>
      <c r="G800" s="264">
        <v>579.64599999999996</v>
      </c>
      <c r="H800" s="256" t="s">
        <v>189</v>
      </c>
      <c r="I800" s="256" t="s">
        <v>1746</v>
      </c>
      <c r="J800" s="256" t="s">
        <v>97</v>
      </c>
      <c r="K800" s="272" t="s">
        <v>201</v>
      </c>
      <c r="L800" s="256" t="s">
        <v>154</v>
      </c>
      <c r="M800" s="252"/>
      <c r="N800" s="252"/>
      <c r="O800" s="252"/>
    </row>
    <row r="801" spans="1:15" hidden="1">
      <c r="A801" s="251">
        <v>45782</v>
      </c>
      <c r="B801" s="252" t="s">
        <v>1845</v>
      </c>
      <c r="C801" s="252" t="s">
        <v>126</v>
      </c>
      <c r="D801" s="253" t="s">
        <v>116</v>
      </c>
      <c r="E801" s="254">
        <v>30000</v>
      </c>
      <c r="F801" s="254">
        <v>51.466044590867249</v>
      </c>
      <c r="G801" s="255">
        <v>582.90899999999999</v>
      </c>
      <c r="H801" s="256" t="s">
        <v>189</v>
      </c>
      <c r="I801" s="261" t="s">
        <v>1747</v>
      </c>
      <c r="J801" s="256" t="s">
        <v>97</v>
      </c>
      <c r="K801" s="269" t="s">
        <v>1903</v>
      </c>
      <c r="L801" s="274" t="s">
        <v>154</v>
      </c>
      <c r="M801" s="252"/>
      <c r="N801" s="252"/>
      <c r="O801" s="252"/>
    </row>
    <row r="802" spans="1:15" hidden="1">
      <c r="A802" s="251">
        <v>45782</v>
      </c>
      <c r="B802" s="252" t="s">
        <v>1892</v>
      </c>
      <c r="C802" s="252" t="s">
        <v>126</v>
      </c>
      <c r="D802" s="253" t="s">
        <v>116</v>
      </c>
      <c r="E802" s="254">
        <v>30000</v>
      </c>
      <c r="F802" s="254">
        <v>51.466044590867249</v>
      </c>
      <c r="G802" s="255">
        <v>582.90899999999999</v>
      </c>
      <c r="H802" s="256" t="s">
        <v>192</v>
      </c>
      <c r="I802" s="261" t="s">
        <v>1774</v>
      </c>
      <c r="J802" s="256" t="s">
        <v>97</v>
      </c>
      <c r="K802" s="269" t="s">
        <v>1903</v>
      </c>
      <c r="L802" s="274" t="s">
        <v>154</v>
      </c>
      <c r="M802" s="252"/>
      <c r="N802" s="252"/>
      <c r="O802" s="252"/>
    </row>
    <row r="803" spans="1:15" hidden="1">
      <c r="A803" s="251">
        <v>45782</v>
      </c>
      <c r="B803" s="252" t="s">
        <v>1893</v>
      </c>
      <c r="C803" s="252" t="s">
        <v>126</v>
      </c>
      <c r="D803" s="253" t="s">
        <v>116</v>
      </c>
      <c r="E803" s="254">
        <v>30000</v>
      </c>
      <c r="F803" s="254">
        <v>51.466044590867249</v>
      </c>
      <c r="G803" s="255">
        <v>582.90899999999999</v>
      </c>
      <c r="H803" s="256" t="s">
        <v>196</v>
      </c>
      <c r="I803" s="261" t="s">
        <v>1873</v>
      </c>
      <c r="J803" s="256" t="s">
        <v>97</v>
      </c>
      <c r="K803" s="269" t="s">
        <v>1903</v>
      </c>
      <c r="L803" s="274" t="s">
        <v>154</v>
      </c>
      <c r="M803" s="252"/>
      <c r="N803" s="252"/>
      <c r="O803" s="252"/>
    </row>
    <row r="804" spans="1:15" hidden="1">
      <c r="A804" s="251">
        <v>45782</v>
      </c>
      <c r="B804" s="252" t="s">
        <v>1580</v>
      </c>
      <c r="C804" s="252" t="s">
        <v>151</v>
      </c>
      <c r="D804" s="253" t="s">
        <v>116</v>
      </c>
      <c r="E804" s="254">
        <v>21000</v>
      </c>
      <c r="F804" s="254">
        <v>36.026231213607076</v>
      </c>
      <c r="G804" s="264">
        <v>579.64599999999996</v>
      </c>
      <c r="H804" s="256" t="s">
        <v>196</v>
      </c>
      <c r="I804" s="256" t="s">
        <v>1795</v>
      </c>
      <c r="J804" s="256" t="s">
        <v>97</v>
      </c>
      <c r="K804" s="272" t="s">
        <v>201</v>
      </c>
      <c r="L804" s="256" t="s">
        <v>154</v>
      </c>
      <c r="M804" s="252"/>
      <c r="N804" s="252"/>
      <c r="O804" s="252"/>
    </row>
    <row r="805" spans="1:15" hidden="1">
      <c r="A805" s="251">
        <v>45782</v>
      </c>
      <c r="B805" s="252" t="s">
        <v>1773</v>
      </c>
      <c r="C805" s="252" t="s">
        <v>126</v>
      </c>
      <c r="D805" s="253" t="s">
        <v>116</v>
      </c>
      <c r="E805" s="254">
        <v>30000</v>
      </c>
      <c r="F805" s="254">
        <v>51.466044590867249</v>
      </c>
      <c r="G805" s="255">
        <v>582.90899999999999</v>
      </c>
      <c r="H805" s="256" t="s">
        <v>186</v>
      </c>
      <c r="I805" s="261" t="s">
        <v>1770</v>
      </c>
      <c r="J805" s="256" t="s">
        <v>97</v>
      </c>
      <c r="K805" s="269" t="s">
        <v>1903</v>
      </c>
      <c r="L805" s="274" t="s">
        <v>154</v>
      </c>
      <c r="M805" s="252"/>
      <c r="N805" s="252"/>
      <c r="O805" s="252"/>
    </row>
    <row r="806" spans="1:15" hidden="1">
      <c r="A806" s="251">
        <v>45782</v>
      </c>
      <c r="B806" s="252" t="s">
        <v>1580</v>
      </c>
      <c r="C806" s="252" t="s">
        <v>151</v>
      </c>
      <c r="D806" s="253" t="s">
        <v>116</v>
      </c>
      <c r="E806" s="254">
        <v>21000</v>
      </c>
      <c r="F806" s="254">
        <v>36.026231213607076</v>
      </c>
      <c r="G806" s="264">
        <v>579.64599999999996</v>
      </c>
      <c r="H806" s="256" t="s">
        <v>186</v>
      </c>
      <c r="I806" s="256" t="s">
        <v>1848</v>
      </c>
      <c r="J806" s="256" t="s">
        <v>97</v>
      </c>
      <c r="K806" s="272" t="s">
        <v>201</v>
      </c>
      <c r="L806" s="256" t="s">
        <v>154</v>
      </c>
      <c r="M806" s="252"/>
      <c r="N806" s="252"/>
      <c r="O806" s="252"/>
    </row>
    <row r="807" spans="1:15" hidden="1">
      <c r="A807" s="251">
        <v>45783</v>
      </c>
      <c r="B807" s="252" t="s">
        <v>1515</v>
      </c>
      <c r="C807" s="252" t="s">
        <v>122</v>
      </c>
      <c r="D807" s="253" t="s">
        <v>116</v>
      </c>
      <c r="E807" s="254">
        <v>300000</v>
      </c>
      <c r="F807" s="254">
        <v>514.6604459086725</v>
      </c>
      <c r="G807" s="264">
        <v>579.64599999999996</v>
      </c>
      <c r="H807" s="256" t="s">
        <v>147</v>
      </c>
      <c r="I807" s="256" t="s">
        <v>1875</v>
      </c>
      <c r="J807" s="256" t="s">
        <v>97</v>
      </c>
      <c r="K807" s="272" t="s">
        <v>201</v>
      </c>
      <c r="L807" s="256" t="s">
        <v>154</v>
      </c>
      <c r="M807" s="252"/>
      <c r="N807" s="252"/>
      <c r="O807" s="252"/>
    </row>
    <row r="808" spans="1:15" hidden="1">
      <c r="A808" s="251">
        <v>45783</v>
      </c>
      <c r="B808" s="252" t="s">
        <v>1688</v>
      </c>
      <c r="C808" s="252" t="s">
        <v>126</v>
      </c>
      <c r="D808" s="252" t="s">
        <v>118</v>
      </c>
      <c r="E808" s="254">
        <v>174625</v>
      </c>
      <c r="F808" s="254">
        <v>299.57526788933978</v>
      </c>
      <c r="G808" s="255">
        <v>582.90899999999999</v>
      </c>
      <c r="H808" s="256" t="s">
        <v>152</v>
      </c>
      <c r="I808" s="275" t="s">
        <v>1689</v>
      </c>
      <c r="J808" s="256" t="s">
        <v>97</v>
      </c>
      <c r="K808" s="269" t="s">
        <v>1903</v>
      </c>
      <c r="L808" s="274" t="s">
        <v>154</v>
      </c>
      <c r="M808" s="252"/>
      <c r="N808" s="252"/>
      <c r="O808" s="252"/>
    </row>
    <row r="809" spans="1:15" hidden="1">
      <c r="A809" s="251">
        <v>45783</v>
      </c>
      <c r="B809" s="252" t="s">
        <v>3770</v>
      </c>
      <c r="C809" s="258" t="s">
        <v>176</v>
      </c>
      <c r="D809" s="253" t="s">
        <v>442</v>
      </c>
      <c r="E809" s="254">
        <v>45000</v>
      </c>
      <c r="F809" s="254">
        <v>77.199066886300869</v>
      </c>
      <c r="G809" s="264">
        <v>579.64599999999996</v>
      </c>
      <c r="H809" s="256" t="s">
        <v>183</v>
      </c>
      <c r="I809" s="257" t="s">
        <v>1606</v>
      </c>
      <c r="J809" s="256" t="s">
        <v>97</v>
      </c>
      <c r="K809" s="272" t="s">
        <v>201</v>
      </c>
      <c r="L809" s="256" t="s">
        <v>154</v>
      </c>
      <c r="M809" s="252"/>
      <c r="N809" s="252"/>
      <c r="O809" s="252"/>
    </row>
    <row r="810" spans="1:15" hidden="1">
      <c r="A810" s="251">
        <v>45783</v>
      </c>
      <c r="B810" s="252" t="s">
        <v>3754</v>
      </c>
      <c r="C810" s="252" t="s">
        <v>173</v>
      </c>
      <c r="D810" s="253" t="s">
        <v>442</v>
      </c>
      <c r="E810" s="254">
        <v>6000</v>
      </c>
      <c r="F810" s="254">
        <v>10.29320891817345</v>
      </c>
      <c r="G810" s="264">
        <v>579.64599999999996</v>
      </c>
      <c r="H810" s="256" t="s">
        <v>183</v>
      </c>
      <c r="I810" s="257" t="s">
        <v>1607</v>
      </c>
      <c r="J810" s="256" t="s">
        <v>97</v>
      </c>
      <c r="K810" s="272" t="s">
        <v>201</v>
      </c>
      <c r="L810" s="256" t="s">
        <v>154</v>
      </c>
      <c r="M810" s="252"/>
      <c r="N810" s="252"/>
      <c r="O810" s="252"/>
    </row>
    <row r="811" spans="1:15" hidden="1">
      <c r="A811" s="251">
        <v>45783</v>
      </c>
      <c r="B811" s="252" t="s">
        <v>3867</v>
      </c>
      <c r="C811" s="258" t="s">
        <v>176</v>
      </c>
      <c r="D811" s="253" t="s">
        <v>442</v>
      </c>
      <c r="E811" s="254">
        <v>45000</v>
      </c>
      <c r="F811" s="254">
        <v>77.199066886300869</v>
      </c>
      <c r="G811" s="264">
        <v>579.64599999999996</v>
      </c>
      <c r="H811" s="256" t="s">
        <v>174</v>
      </c>
      <c r="I811" s="256" t="s">
        <v>1636</v>
      </c>
      <c r="J811" s="256" t="s">
        <v>97</v>
      </c>
      <c r="K811" s="272" t="s">
        <v>201</v>
      </c>
      <c r="L811" s="256" t="s">
        <v>154</v>
      </c>
      <c r="M811" s="252"/>
      <c r="N811" s="252"/>
      <c r="O811" s="252"/>
    </row>
    <row r="812" spans="1:15" hidden="1">
      <c r="A812" s="251">
        <v>45783</v>
      </c>
      <c r="B812" s="252" t="s">
        <v>3875</v>
      </c>
      <c r="C812" s="252" t="s">
        <v>173</v>
      </c>
      <c r="D812" s="253" t="s">
        <v>442</v>
      </c>
      <c r="E812" s="254">
        <v>5000</v>
      </c>
      <c r="F812" s="254">
        <v>8.5776740984778748</v>
      </c>
      <c r="G812" s="264">
        <v>579.64599999999996</v>
      </c>
      <c r="H812" s="256" t="s">
        <v>174</v>
      </c>
      <c r="I812" s="256" t="s">
        <v>1637</v>
      </c>
      <c r="J812" s="256" t="s">
        <v>97</v>
      </c>
      <c r="K812" s="272" t="s">
        <v>201</v>
      </c>
      <c r="L812" s="256" t="s">
        <v>154</v>
      </c>
      <c r="M812" s="252"/>
      <c r="N812" s="252"/>
      <c r="O812" s="252"/>
    </row>
    <row r="813" spans="1:15" hidden="1">
      <c r="A813" s="251">
        <v>45783</v>
      </c>
      <c r="B813" s="252" t="s">
        <v>3673</v>
      </c>
      <c r="C813" s="258" t="s">
        <v>176</v>
      </c>
      <c r="D813" s="253" t="s">
        <v>442</v>
      </c>
      <c r="E813" s="254">
        <v>45000</v>
      </c>
      <c r="F813" s="254">
        <v>77.199066886300869</v>
      </c>
      <c r="G813" s="264">
        <v>579.64599999999996</v>
      </c>
      <c r="H813" s="256" t="s">
        <v>322</v>
      </c>
      <c r="I813" s="256" t="s">
        <v>1662</v>
      </c>
      <c r="J813" s="256" t="s">
        <v>97</v>
      </c>
      <c r="K813" s="272" t="s">
        <v>201</v>
      </c>
      <c r="L813" s="256" t="s">
        <v>154</v>
      </c>
      <c r="M813" s="252"/>
      <c r="N813" s="252"/>
      <c r="O813" s="252"/>
    </row>
    <row r="814" spans="1:15" hidden="1">
      <c r="A814" s="251">
        <v>45783</v>
      </c>
      <c r="B814" s="252" t="s">
        <v>3658</v>
      </c>
      <c r="C814" s="252" t="s">
        <v>173</v>
      </c>
      <c r="D814" s="253" t="s">
        <v>442</v>
      </c>
      <c r="E814" s="254">
        <v>10000</v>
      </c>
      <c r="F814" s="254">
        <v>17.15534819695575</v>
      </c>
      <c r="G814" s="264">
        <v>579.64599999999996</v>
      </c>
      <c r="H814" s="256" t="s">
        <v>322</v>
      </c>
      <c r="I814" s="256" t="s">
        <v>1663</v>
      </c>
      <c r="J814" s="256" t="s">
        <v>97</v>
      </c>
      <c r="K814" s="272" t="s">
        <v>201</v>
      </c>
      <c r="L814" s="256" t="s">
        <v>154</v>
      </c>
      <c r="M814" s="252"/>
      <c r="N814" s="252"/>
      <c r="O814" s="252"/>
    </row>
    <row r="815" spans="1:15" hidden="1">
      <c r="A815" s="251">
        <v>45783</v>
      </c>
      <c r="B815" s="252" t="s">
        <v>1536</v>
      </c>
      <c r="C815" s="252" t="s">
        <v>173</v>
      </c>
      <c r="D815" s="253" t="s">
        <v>116</v>
      </c>
      <c r="E815" s="254">
        <v>28000</v>
      </c>
      <c r="F815" s="254">
        <v>48.034974951476102</v>
      </c>
      <c r="G815" s="264">
        <v>579.64599999999996</v>
      </c>
      <c r="H815" s="256" t="s">
        <v>189</v>
      </c>
      <c r="I815" s="256" t="s">
        <v>1841</v>
      </c>
      <c r="J815" s="256" t="s">
        <v>97</v>
      </c>
      <c r="K815" s="272" t="s">
        <v>201</v>
      </c>
      <c r="L815" s="256" t="s">
        <v>154</v>
      </c>
      <c r="M815" s="252"/>
      <c r="N815" s="252"/>
      <c r="O815" s="252"/>
    </row>
    <row r="816" spans="1:15" hidden="1">
      <c r="A816" s="251">
        <v>45783</v>
      </c>
      <c r="B816" s="252" t="s">
        <v>1537</v>
      </c>
      <c r="C816" s="258" t="s">
        <v>176</v>
      </c>
      <c r="D816" s="253" t="s">
        <v>116</v>
      </c>
      <c r="E816" s="254">
        <v>75000</v>
      </c>
      <c r="F816" s="254">
        <v>128.66511147716813</v>
      </c>
      <c r="G816" s="264">
        <v>579.64599999999996</v>
      </c>
      <c r="H816" s="256" t="s">
        <v>189</v>
      </c>
      <c r="I816" s="256" t="s">
        <v>1844</v>
      </c>
      <c r="J816" s="256" t="s">
        <v>97</v>
      </c>
      <c r="K816" s="272" t="s">
        <v>201</v>
      </c>
      <c r="L816" s="256" t="s">
        <v>154</v>
      </c>
      <c r="M816" s="252"/>
      <c r="N816" s="252"/>
      <c r="O816" s="252"/>
    </row>
    <row r="817" spans="1:15" hidden="1">
      <c r="A817" s="251">
        <v>45783</v>
      </c>
      <c r="B817" s="252" t="s">
        <v>1580</v>
      </c>
      <c r="C817" s="252" t="s">
        <v>151</v>
      </c>
      <c r="D817" s="253" t="s">
        <v>116</v>
      </c>
      <c r="E817" s="254">
        <v>21000</v>
      </c>
      <c r="F817" s="254">
        <v>36.026231213607076</v>
      </c>
      <c r="G817" s="264">
        <v>579.64599999999996</v>
      </c>
      <c r="H817" s="256" t="s">
        <v>192</v>
      </c>
      <c r="I817" s="256" t="s">
        <v>1778</v>
      </c>
      <c r="J817" s="256" t="s">
        <v>97</v>
      </c>
      <c r="K817" s="272" t="s">
        <v>201</v>
      </c>
      <c r="L817" s="256" t="s">
        <v>154</v>
      </c>
      <c r="M817" s="252"/>
      <c r="N817" s="252"/>
      <c r="O817" s="252"/>
    </row>
    <row r="818" spans="1:15" hidden="1">
      <c r="A818" s="251">
        <v>45783</v>
      </c>
      <c r="B818" s="252" t="s">
        <v>1086</v>
      </c>
      <c r="C818" s="252" t="s">
        <v>195</v>
      </c>
      <c r="D818" s="253" t="s">
        <v>116</v>
      </c>
      <c r="E818" s="254">
        <v>10000</v>
      </c>
      <c r="F818" s="254">
        <v>17.15534819695575</v>
      </c>
      <c r="G818" s="264">
        <v>579.64599999999996</v>
      </c>
      <c r="H818" s="256" t="s">
        <v>196</v>
      </c>
      <c r="I818" s="256" t="s">
        <v>1796</v>
      </c>
      <c r="J818" s="256" t="s">
        <v>97</v>
      </c>
      <c r="K818" s="272" t="s">
        <v>201</v>
      </c>
      <c r="L818" s="256" t="s">
        <v>154</v>
      </c>
      <c r="M818" s="252"/>
      <c r="N818" s="252"/>
      <c r="O818" s="252"/>
    </row>
    <row r="819" spans="1:15" hidden="1">
      <c r="A819" s="251">
        <v>45783</v>
      </c>
      <c r="B819" s="252" t="s">
        <v>1849</v>
      </c>
      <c r="C819" s="252" t="s">
        <v>173</v>
      </c>
      <c r="D819" s="253" t="s">
        <v>116</v>
      </c>
      <c r="E819" s="254">
        <v>10000</v>
      </c>
      <c r="F819" s="254">
        <v>17.15534819695575</v>
      </c>
      <c r="G819" s="264">
        <v>579.64599999999996</v>
      </c>
      <c r="H819" s="256" t="s">
        <v>186</v>
      </c>
      <c r="I819" s="256" t="s">
        <v>1850</v>
      </c>
      <c r="J819" s="256" t="s">
        <v>97</v>
      </c>
      <c r="K819" s="272" t="s">
        <v>201</v>
      </c>
      <c r="L819" s="256" t="s">
        <v>154</v>
      </c>
      <c r="M819" s="252"/>
      <c r="N819" s="252"/>
      <c r="O819" s="252"/>
    </row>
    <row r="820" spans="1:15" hidden="1">
      <c r="A820" s="251">
        <v>45784</v>
      </c>
      <c r="B820" s="252" t="s">
        <v>1516</v>
      </c>
      <c r="C820" s="252" t="s">
        <v>303</v>
      </c>
      <c r="D820" s="252" t="s">
        <v>117</v>
      </c>
      <c r="E820" s="254">
        <v>260000</v>
      </c>
      <c r="F820" s="254">
        <v>446.03905312084947</v>
      </c>
      <c r="G820" s="264">
        <v>579.64599999999996</v>
      </c>
      <c r="H820" s="256" t="s">
        <v>147</v>
      </c>
      <c r="I820" s="256" t="s">
        <v>1876</v>
      </c>
      <c r="J820" s="256" t="s">
        <v>97</v>
      </c>
      <c r="K820" s="272" t="s">
        <v>201</v>
      </c>
      <c r="L820" s="256" t="s">
        <v>154</v>
      </c>
      <c r="M820" s="252"/>
      <c r="N820" s="252"/>
      <c r="O820" s="252"/>
    </row>
    <row r="821" spans="1:15" hidden="1">
      <c r="A821" s="251">
        <v>45784</v>
      </c>
      <c r="B821" s="252" t="s">
        <v>552</v>
      </c>
      <c r="C821" s="258" t="s">
        <v>1164</v>
      </c>
      <c r="D821" s="252" t="s">
        <v>117</v>
      </c>
      <c r="E821" s="254">
        <v>47400</v>
      </c>
      <c r="F821" s="254">
        <v>81.316350453570251</v>
      </c>
      <c r="G821" s="264">
        <v>579.64599999999996</v>
      </c>
      <c r="H821" s="256" t="s">
        <v>583</v>
      </c>
      <c r="I821" s="256" t="s">
        <v>1728</v>
      </c>
      <c r="J821" s="256" t="s">
        <v>97</v>
      </c>
      <c r="K821" s="272" t="s">
        <v>201</v>
      </c>
      <c r="L821" s="256" t="s">
        <v>154</v>
      </c>
      <c r="M821" s="252"/>
      <c r="N821" s="252"/>
      <c r="O821" s="252"/>
    </row>
    <row r="822" spans="1:15" hidden="1">
      <c r="A822" s="251">
        <v>45784</v>
      </c>
      <c r="B822" s="252" t="s">
        <v>1797</v>
      </c>
      <c r="C822" s="258" t="s">
        <v>176</v>
      </c>
      <c r="D822" s="253" t="s">
        <v>116</v>
      </c>
      <c r="E822" s="254">
        <v>30000</v>
      </c>
      <c r="F822" s="254">
        <v>51.466044590867249</v>
      </c>
      <c r="G822" s="264">
        <v>579.64599999999996</v>
      </c>
      <c r="H822" s="256" t="s">
        <v>196</v>
      </c>
      <c r="I822" s="256" t="s">
        <v>1798</v>
      </c>
      <c r="J822" s="256" t="s">
        <v>97</v>
      </c>
      <c r="K822" s="272" t="s">
        <v>201</v>
      </c>
      <c r="L822" s="256" t="s">
        <v>154</v>
      </c>
      <c r="M822" s="252"/>
      <c r="N822" s="252"/>
      <c r="O822" s="252"/>
    </row>
    <row r="823" spans="1:15" hidden="1">
      <c r="A823" s="251">
        <v>45784</v>
      </c>
      <c r="B823" s="252" t="s">
        <v>1851</v>
      </c>
      <c r="C823" s="258" t="s">
        <v>176</v>
      </c>
      <c r="D823" s="253" t="s">
        <v>116</v>
      </c>
      <c r="E823" s="254">
        <v>30000</v>
      </c>
      <c r="F823" s="254">
        <v>51.466044590867249</v>
      </c>
      <c r="G823" s="264">
        <v>579.64599999999996</v>
      </c>
      <c r="H823" s="256" t="s">
        <v>186</v>
      </c>
      <c r="I823" s="256" t="s">
        <v>1852</v>
      </c>
      <c r="J823" s="256" t="s">
        <v>97</v>
      </c>
      <c r="K823" s="272" t="s">
        <v>201</v>
      </c>
      <c r="L823" s="256" t="s">
        <v>154</v>
      </c>
      <c r="M823" s="252"/>
      <c r="N823" s="252"/>
      <c r="O823" s="252"/>
    </row>
    <row r="824" spans="1:15" hidden="1">
      <c r="A824" s="251">
        <v>45785</v>
      </c>
      <c r="B824" s="252" t="s">
        <v>3770</v>
      </c>
      <c r="C824" s="258" t="s">
        <v>176</v>
      </c>
      <c r="D824" s="253" t="s">
        <v>442</v>
      </c>
      <c r="E824" s="254">
        <v>30000</v>
      </c>
      <c r="F824" s="254">
        <v>51.466044590867249</v>
      </c>
      <c r="G824" s="264">
        <v>579.64599999999996</v>
      </c>
      <c r="H824" s="256" t="s">
        <v>183</v>
      </c>
      <c r="I824" s="257" t="s">
        <v>1608</v>
      </c>
      <c r="J824" s="256" t="s">
        <v>97</v>
      </c>
      <c r="K824" s="272" t="s">
        <v>201</v>
      </c>
      <c r="L824" s="256" t="s">
        <v>154</v>
      </c>
      <c r="M824" s="252"/>
      <c r="N824" s="252"/>
      <c r="O824" s="252"/>
    </row>
    <row r="825" spans="1:15" hidden="1">
      <c r="A825" s="251">
        <v>45785</v>
      </c>
      <c r="B825" s="252" t="s">
        <v>3754</v>
      </c>
      <c r="C825" s="252" t="s">
        <v>173</v>
      </c>
      <c r="D825" s="253" t="s">
        <v>442</v>
      </c>
      <c r="E825" s="254">
        <v>7000</v>
      </c>
      <c r="F825" s="254">
        <v>12.008743737869025</v>
      </c>
      <c r="G825" s="264">
        <v>579.64599999999996</v>
      </c>
      <c r="H825" s="256" t="s">
        <v>183</v>
      </c>
      <c r="I825" s="257" t="s">
        <v>1609</v>
      </c>
      <c r="J825" s="256" t="s">
        <v>97</v>
      </c>
      <c r="K825" s="272" t="s">
        <v>201</v>
      </c>
      <c r="L825" s="256" t="s">
        <v>154</v>
      </c>
      <c r="M825" s="252"/>
      <c r="N825" s="252"/>
      <c r="O825" s="252"/>
    </row>
    <row r="826" spans="1:15" hidden="1">
      <c r="A826" s="251">
        <v>45785</v>
      </c>
      <c r="B826" s="252" t="s">
        <v>3867</v>
      </c>
      <c r="C826" s="258" t="s">
        <v>176</v>
      </c>
      <c r="D826" s="253" t="s">
        <v>442</v>
      </c>
      <c r="E826" s="254">
        <v>30000</v>
      </c>
      <c r="F826" s="254">
        <v>51.466044590867249</v>
      </c>
      <c r="G826" s="264">
        <v>579.64599999999996</v>
      </c>
      <c r="H826" s="256" t="s">
        <v>174</v>
      </c>
      <c r="I826" s="256" t="s">
        <v>1638</v>
      </c>
      <c r="J826" s="256" t="s">
        <v>97</v>
      </c>
      <c r="K826" s="272" t="s">
        <v>201</v>
      </c>
      <c r="L826" s="256" t="s">
        <v>154</v>
      </c>
      <c r="M826" s="252"/>
      <c r="N826" s="252"/>
      <c r="O826" s="252"/>
    </row>
    <row r="827" spans="1:15" hidden="1">
      <c r="A827" s="251">
        <v>45785</v>
      </c>
      <c r="B827" s="252" t="s">
        <v>3887</v>
      </c>
      <c r="C827" s="252" t="s">
        <v>173</v>
      </c>
      <c r="D827" s="253" t="s">
        <v>442</v>
      </c>
      <c r="E827" s="254">
        <v>7000</v>
      </c>
      <c r="F827" s="254">
        <v>12.008743737869025</v>
      </c>
      <c r="G827" s="264">
        <v>579.64599999999996</v>
      </c>
      <c r="H827" s="256" t="s">
        <v>174</v>
      </c>
      <c r="I827" s="256" t="s">
        <v>1639</v>
      </c>
      <c r="J827" s="256" t="s">
        <v>97</v>
      </c>
      <c r="K827" s="272" t="s">
        <v>201</v>
      </c>
      <c r="L827" s="256" t="s">
        <v>154</v>
      </c>
      <c r="M827" s="252"/>
      <c r="N827" s="252"/>
      <c r="O827" s="252"/>
    </row>
    <row r="828" spans="1:15" hidden="1">
      <c r="A828" s="251">
        <v>45785</v>
      </c>
      <c r="B828" s="252" t="s">
        <v>3667</v>
      </c>
      <c r="C828" s="258" t="s">
        <v>176</v>
      </c>
      <c r="D828" s="253" t="s">
        <v>442</v>
      </c>
      <c r="E828" s="254">
        <v>30000</v>
      </c>
      <c r="F828" s="254">
        <v>51.466044590867249</v>
      </c>
      <c r="G828" s="264">
        <v>579.64599999999996</v>
      </c>
      <c r="H828" s="256" t="s">
        <v>322</v>
      </c>
      <c r="I828" s="256" t="s">
        <v>1664</v>
      </c>
      <c r="J828" s="256" t="s">
        <v>97</v>
      </c>
      <c r="K828" s="272" t="s">
        <v>201</v>
      </c>
      <c r="L828" s="256" t="s">
        <v>154</v>
      </c>
      <c r="M828" s="252"/>
      <c r="N828" s="252"/>
      <c r="O828" s="252"/>
    </row>
    <row r="829" spans="1:15" hidden="1">
      <c r="A829" s="251">
        <v>45785</v>
      </c>
      <c r="B829" s="252" t="s">
        <v>3661</v>
      </c>
      <c r="C829" s="252" t="s">
        <v>173</v>
      </c>
      <c r="D829" s="253" t="s">
        <v>442</v>
      </c>
      <c r="E829" s="254">
        <v>10000</v>
      </c>
      <c r="F829" s="254">
        <v>17.15534819695575</v>
      </c>
      <c r="G829" s="264">
        <v>579.64599999999996</v>
      </c>
      <c r="H829" s="256" t="s">
        <v>322</v>
      </c>
      <c r="I829" s="256" t="s">
        <v>1665</v>
      </c>
      <c r="J829" s="256" t="s">
        <v>97</v>
      </c>
      <c r="K829" s="272" t="s">
        <v>201</v>
      </c>
      <c r="L829" s="256" t="s">
        <v>154</v>
      </c>
      <c r="M829" s="252"/>
      <c r="N829" s="252"/>
      <c r="O829" s="252"/>
    </row>
    <row r="830" spans="1:15" hidden="1">
      <c r="A830" s="251">
        <v>45785</v>
      </c>
      <c r="B830" s="252" t="s">
        <v>3674</v>
      </c>
      <c r="C830" s="252" t="s">
        <v>173</v>
      </c>
      <c r="D830" s="253" t="s">
        <v>442</v>
      </c>
      <c r="E830" s="254">
        <v>4000</v>
      </c>
      <c r="F830" s="254">
        <v>6.8621392787823003</v>
      </c>
      <c r="G830" s="264">
        <v>579.64599999999996</v>
      </c>
      <c r="H830" s="256" t="s">
        <v>322</v>
      </c>
      <c r="I830" s="256" t="s">
        <v>1666</v>
      </c>
      <c r="J830" s="256" t="s">
        <v>97</v>
      </c>
      <c r="K830" s="272" t="s">
        <v>201</v>
      </c>
      <c r="L830" s="256" t="s">
        <v>154</v>
      </c>
      <c r="M830" s="252"/>
      <c r="N830" s="252"/>
      <c r="O830" s="252"/>
    </row>
    <row r="831" spans="1:15" hidden="1">
      <c r="A831" s="251">
        <v>45786</v>
      </c>
      <c r="B831" s="252" t="s">
        <v>1469</v>
      </c>
      <c r="C831" s="252" t="s">
        <v>122</v>
      </c>
      <c r="D831" s="253" t="s">
        <v>116</v>
      </c>
      <c r="E831" s="254">
        <v>150000</v>
      </c>
      <c r="F831" s="254">
        <v>257.33022295433625</v>
      </c>
      <c r="G831" s="264">
        <v>579.64599999999996</v>
      </c>
      <c r="H831" s="256" t="s">
        <v>147</v>
      </c>
      <c r="I831" s="256" t="s">
        <v>1877</v>
      </c>
      <c r="J831" s="256" t="s">
        <v>97</v>
      </c>
      <c r="K831" s="272" t="s">
        <v>201</v>
      </c>
      <c r="L831" s="256" t="s">
        <v>154</v>
      </c>
      <c r="M831" s="252"/>
      <c r="N831" s="252"/>
      <c r="O831" s="252"/>
    </row>
    <row r="832" spans="1:15" hidden="1">
      <c r="A832" s="251">
        <v>45786</v>
      </c>
      <c r="B832" s="252" t="s">
        <v>3754</v>
      </c>
      <c r="C832" s="252" t="s">
        <v>173</v>
      </c>
      <c r="D832" s="253" t="s">
        <v>442</v>
      </c>
      <c r="E832" s="254">
        <v>10000</v>
      </c>
      <c r="F832" s="254">
        <v>17.15534819695575</v>
      </c>
      <c r="G832" s="264">
        <v>579.64599999999996</v>
      </c>
      <c r="H832" s="256" t="s">
        <v>183</v>
      </c>
      <c r="I832" s="257" t="s">
        <v>1610</v>
      </c>
      <c r="J832" s="256" t="s">
        <v>97</v>
      </c>
      <c r="K832" s="272" t="s">
        <v>201</v>
      </c>
      <c r="L832" s="256" t="s">
        <v>154</v>
      </c>
      <c r="M832" s="252"/>
      <c r="N832" s="252"/>
      <c r="O832" s="252"/>
    </row>
    <row r="833" spans="1:15" hidden="1">
      <c r="A833" s="251">
        <v>45786</v>
      </c>
      <c r="B833" s="252" t="s">
        <v>1538</v>
      </c>
      <c r="C833" s="259" t="s">
        <v>2087</v>
      </c>
      <c r="D833" s="252" t="s">
        <v>117</v>
      </c>
      <c r="E833" s="254">
        <v>3270</v>
      </c>
      <c r="F833" s="254">
        <v>5.6097988604045304</v>
      </c>
      <c r="G833" s="264">
        <v>579.64599999999996</v>
      </c>
      <c r="H833" s="256" t="s">
        <v>192</v>
      </c>
      <c r="I833" s="256" t="s">
        <v>1775</v>
      </c>
      <c r="J833" s="256" t="s">
        <v>97</v>
      </c>
      <c r="K833" s="272" t="s">
        <v>201</v>
      </c>
      <c r="L833" s="256" t="s">
        <v>154</v>
      </c>
      <c r="M833" s="252"/>
      <c r="N833" s="252"/>
      <c r="O833" s="252"/>
    </row>
    <row r="834" spans="1:15" hidden="1">
      <c r="A834" s="251">
        <v>45786</v>
      </c>
      <c r="B834" s="252" t="s">
        <v>1539</v>
      </c>
      <c r="C834" s="258" t="s">
        <v>125</v>
      </c>
      <c r="D834" s="252" t="s">
        <v>117</v>
      </c>
      <c r="E834" s="254">
        <v>68737</v>
      </c>
      <c r="F834" s="254">
        <v>117.92071690141474</v>
      </c>
      <c r="G834" s="264">
        <v>579.64599999999996</v>
      </c>
      <c r="H834" s="256" t="s">
        <v>192</v>
      </c>
      <c r="I834" s="256" t="s">
        <v>1776</v>
      </c>
      <c r="J834" s="256" t="s">
        <v>97</v>
      </c>
      <c r="K834" s="272" t="s">
        <v>201</v>
      </c>
      <c r="L834" s="256" t="s">
        <v>154</v>
      </c>
      <c r="M834" s="252"/>
      <c r="N834" s="252"/>
      <c r="O834" s="252"/>
    </row>
    <row r="835" spans="1:15" hidden="1">
      <c r="A835" s="251">
        <v>45786</v>
      </c>
      <c r="B835" s="252" t="s">
        <v>1799</v>
      </c>
      <c r="C835" s="252" t="s">
        <v>195</v>
      </c>
      <c r="D835" s="253" t="s">
        <v>116</v>
      </c>
      <c r="E835" s="254">
        <v>10000</v>
      </c>
      <c r="F835" s="254">
        <v>17.15534819695575</v>
      </c>
      <c r="G835" s="264">
        <v>579.64599999999996</v>
      </c>
      <c r="H835" s="256" t="s">
        <v>196</v>
      </c>
      <c r="I835" s="256" t="s">
        <v>1800</v>
      </c>
      <c r="J835" s="256" t="s">
        <v>97</v>
      </c>
      <c r="K835" s="272" t="s">
        <v>201</v>
      </c>
      <c r="L835" s="256" t="s">
        <v>154</v>
      </c>
      <c r="M835" s="252"/>
      <c r="N835" s="252"/>
      <c r="O835" s="252"/>
    </row>
    <row r="836" spans="1:15" hidden="1">
      <c r="A836" s="251">
        <v>45786</v>
      </c>
      <c r="B836" s="252" t="s">
        <v>1853</v>
      </c>
      <c r="C836" s="252" t="s">
        <v>1811</v>
      </c>
      <c r="D836" s="253" t="s">
        <v>116</v>
      </c>
      <c r="E836" s="254">
        <v>20000</v>
      </c>
      <c r="F836" s="254">
        <v>34.310696393911499</v>
      </c>
      <c r="G836" s="264">
        <v>579.64599999999996</v>
      </c>
      <c r="H836" s="256" t="s">
        <v>186</v>
      </c>
      <c r="I836" s="256" t="s">
        <v>1854</v>
      </c>
      <c r="J836" s="256" t="s">
        <v>97</v>
      </c>
      <c r="K836" s="272" t="s">
        <v>201</v>
      </c>
      <c r="L836" s="256" t="s">
        <v>154</v>
      </c>
      <c r="M836" s="252"/>
      <c r="N836" s="252"/>
      <c r="O836" s="252"/>
    </row>
    <row r="837" spans="1:15" hidden="1">
      <c r="A837" s="251">
        <v>45786</v>
      </c>
      <c r="B837" s="252" t="s">
        <v>1855</v>
      </c>
      <c r="C837" s="252" t="s">
        <v>173</v>
      </c>
      <c r="D837" s="253" t="s">
        <v>116</v>
      </c>
      <c r="E837" s="254">
        <v>10000</v>
      </c>
      <c r="F837" s="254">
        <v>17.15534819695575</v>
      </c>
      <c r="G837" s="264">
        <v>579.64599999999996</v>
      </c>
      <c r="H837" s="256" t="s">
        <v>186</v>
      </c>
      <c r="I837" s="256" t="s">
        <v>1856</v>
      </c>
      <c r="J837" s="256" t="s">
        <v>97</v>
      </c>
      <c r="K837" s="272" t="s">
        <v>201</v>
      </c>
      <c r="L837" s="256" t="s">
        <v>154</v>
      </c>
      <c r="M837" s="252"/>
      <c r="N837" s="252"/>
      <c r="O837" s="252"/>
    </row>
    <row r="838" spans="1:15" hidden="1">
      <c r="A838" s="251">
        <v>45787</v>
      </c>
      <c r="B838" s="252" t="s">
        <v>3770</v>
      </c>
      <c r="C838" s="258" t="s">
        <v>176</v>
      </c>
      <c r="D838" s="253" t="s">
        <v>442</v>
      </c>
      <c r="E838" s="254">
        <v>30000</v>
      </c>
      <c r="F838" s="254">
        <v>51.466044590867249</v>
      </c>
      <c r="G838" s="264">
        <v>579.64599999999996</v>
      </c>
      <c r="H838" s="256" t="s">
        <v>183</v>
      </c>
      <c r="I838" s="257" t="s">
        <v>1611</v>
      </c>
      <c r="J838" s="256" t="s">
        <v>97</v>
      </c>
      <c r="K838" s="272" t="s">
        <v>201</v>
      </c>
      <c r="L838" s="256" t="s">
        <v>154</v>
      </c>
      <c r="M838" s="252"/>
      <c r="N838" s="252"/>
      <c r="O838" s="252"/>
    </row>
    <row r="839" spans="1:15" hidden="1">
      <c r="A839" s="251">
        <v>45787</v>
      </c>
      <c r="B839" s="252" t="s">
        <v>3867</v>
      </c>
      <c r="C839" s="258" t="s">
        <v>176</v>
      </c>
      <c r="D839" s="253" t="s">
        <v>442</v>
      </c>
      <c r="E839" s="254">
        <v>30000</v>
      </c>
      <c r="F839" s="254">
        <v>51.466044590867249</v>
      </c>
      <c r="G839" s="264">
        <v>579.64599999999996</v>
      </c>
      <c r="H839" s="256" t="s">
        <v>174</v>
      </c>
      <c r="I839" s="256" t="s">
        <v>1640</v>
      </c>
      <c r="J839" s="256" t="s">
        <v>97</v>
      </c>
      <c r="K839" s="272" t="s">
        <v>201</v>
      </c>
      <c r="L839" s="256" t="s">
        <v>154</v>
      </c>
      <c r="M839" s="252"/>
      <c r="N839" s="252"/>
      <c r="O839" s="252"/>
    </row>
    <row r="840" spans="1:15" hidden="1">
      <c r="A840" s="251">
        <v>45787</v>
      </c>
      <c r="B840" s="252" t="s">
        <v>3884</v>
      </c>
      <c r="C840" s="252" t="s">
        <v>173</v>
      </c>
      <c r="D840" s="253" t="s">
        <v>442</v>
      </c>
      <c r="E840" s="254">
        <v>12000</v>
      </c>
      <c r="F840" s="254">
        <v>20.5864178363469</v>
      </c>
      <c r="G840" s="264">
        <v>579.64599999999996</v>
      </c>
      <c r="H840" s="256" t="s">
        <v>174</v>
      </c>
      <c r="I840" s="256" t="s">
        <v>1641</v>
      </c>
      <c r="J840" s="256" t="s">
        <v>97</v>
      </c>
      <c r="K840" s="272" t="s">
        <v>201</v>
      </c>
      <c r="L840" s="256" t="s">
        <v>154</v>
      </c>
      <c r="M840" s="252"/>
      <c r="N840" s="252"/>
      <c r="O840" s="252"/>
    </row>
    <row r="841" spans="1:15" hidden="1">
      <c r="A841" s="251">
        <v>45787</v>
      </c>
      <c r="B841" s="252" t="s">
        <v>3667</v>
      </c>
      <c r="C841" s="258" t="s">
        <v>176</v>
      </c>
      <c r="D841" s="253" t="s">
        <v>442</v>
      </c>
      <c r="E841" s="254">
        <v>30000</v>
      </c>
      <c r="F841" s="254">
        <v>51.466044590867249</v>
      </c>
      <c r="G841" s="264">
        <v>579.64599999999996</v>
      </c>
      <c r="H841" s="256" t="s">
        <v>322</v>
      </c>
      <c r="I841" s="256" t="s">
        <v>1667</v>
      </c>
      <c r="J841" s="256" t="s">
        <v>97</v>
      </c>
      <c r="K841" s="272" t="s">
        <v>201</v>
      </c>
      <c r="L841" s="256" t="s">
        <v>154</v>
      </c>
      <c r="M841" s="252"/>
      <c r="N841" s="252"/>
      <c r="O841" s="252"/>
    </row>
    <row r="842" spans="1:15" hidden="1">
      <c r="A842" s="251">
        <v>45787</v>
      </c>
      <c r="B842" s="252" t="s">
        <v>3658</v>
      </c>
      <c r="C842" s="252" t="s">
        <v>173</v>
      </c>
      <c r="D842" s="253" t="s">
        <v>442</v>
      </c>
      <c r="E842" s="254">
        <v>7000</v>
      </c>
      <c r="F842" s="254">
        <v>12.008743737869025</v>
      </c>
      <c r="G842" s="264">
        <v>579.64599999999996</v>
      </c>
      <c r="H842" s="256" t="s">
        <v>322</v>
      </c>
      <c r="I842" s="256" t="s">
        <v>1668</v>
      </c>
      <c r="J842" s="256" t="s">
        <v>97</v>
      </c>
      <c r="K842" s="272" t="s">
        <v>201</v>
      </c>
      <c r="L842" s="256" t="s">
        <v>154</v>
      </c>
      <c r="M842" s="252"/>
      <c r="N842" s="252"/>
      <c r="O842" s="252"/>
    </row>
    <row r="843" spans="1:15" hidden="1">
      <c r="A843" s="251">
        <v>45787</v>
      </c>
      <c r="B843" s="252" t="s">
        <v>1801</v>
      </c>
      <c r="C843" s="258" t="s">
        <v>176</v>
      </c>
      <c r="D843" s="253" t="s">
        <v>116</v>
      </c>
      <c r="E843" s="254">
        <v>45000</v>
      </c>
      <c r="F843" s="254">
        <v>77.199066886300869</v>
      </c>
      <c r="G843" s="264">
        <v>579.64599999999996</v>
      </c>
      <c r="H843" s="256" t="s">
        <v>196</v>
      </c>
      <c r="I843" s="256" t="s">
        <v>1802</v>
      </c>
      <c r="J843" s="256" t="s">
        <v>97</v>
      </c>
      <c r="K843" s="272" t="s">
        <v>201</v>
      </c>
      <c r="L843" s="256" t="s">
        <v>154</v>
      </c>
      <c r="M843" s="252"/>
      <c r="N843" s="252"/>
      <c r="O843" s="252"/>
    </row>
    <row r="844" spans="1:15" hidden="1">
      <c r="A844" s="251">
        <v>45787</v>
      </c>
      <c r="B844" s="252" t="s">
        <v>1857</v>
      </c>
      <c r="C844" s="258" t="s">
        <v>176</v>
      </c>
      <c r="D844" s="253" t="s">
        <v>116</v>
      </c>
      <c r="E844" s="254">
        <v>45000</v>
      </c>
      <c r="F844" s="254">
        <v>77.199066886300869</v>
      </c>
      <c r="G844" s="264">
        <v>579.64599999999996</v>
      </c>
      <c r="H844" s="256" t="s">
        <v>186</v>
      </c>
      <c r="I844" s="256" t="s">
        <v>1858</v>
      </c>
      <c r="J844" s="256" t="s">
        <v>97</v>
      </c>
      <c r="K844" s="272" t="s">
        <v>201</v>
      </c>
      <c r="L844" s="256" t="s">
        <v>154</v>
      </c>
      <c r="M844" s="252"/>
      <c r="N844" s="252"/>
      <c r="O844" s="252"/>
    </row>
    <row r="845" spans="1:15" hidden="1">
      <c r="A845" s="251">
        <v>45789</v>
      </c>
      <c r="B845" s="252" t="s">
        <v>1540</v>
      </c>
      <c r="C845" s="252" t="s">
        <v>303</v>
      </c>
      <c r="D845" s="252" t="s">
        <v>117</v>
      </c>
      <c r="E845" s="254">
        <v>25000</v>
      </c>
      <c r="F845" s="254">
        <v>42.888370492389377</v>
      </c>
      <c r="G845" s="264">
        <v>579.64599999999996</v>
      </c>
      <c r="H845" s="256" t="s">
        <v>152</v>
      </c>
      <c r="I845" s="275" t="s">
        <v>1900</v>
      </c>
      <c r="J845" s="256" t="s">
        <v>97</v>
      </c>
      <c r="K845" s="272" t="s">
        <v>201</v>
      </c>
      <c r="L845" s="256" t="s">
        <v>154</v>
      </c>
      <c r="M845" s="252"/>
      <c r="N845" s="252"/>
      <c r="O845" s="252"/>
    </row>
    <row r="846" spans="1:15" hidden="1">
      <c r="A846" s="251">
        <v>45789</v>
      </c>
      <c r="B846" s="252" t="s">
        <v>550</v>
      </c>
      <c r="C846" s="258" t="s">
        <v>1164</v>
      </c>
      <c r="D846" s="252" t="s">
        <v>117</v>
      </c>
      <c r="E846" s="254">
        <v>25000</v>
      </c>
      <c r="F846" s="254">
        <v>42.888370492389377</v>
      </c>
      <c r="G846" s="264">
        <v>579.64599999999996</v>
      </c>
      <c r="H846" s="256" t="s">
        <v>189</v>
      </c>
      <c r="I846" s="256" t="s">
        <v>1748</v>
      </c>
      <c r="J846" s="256" t="s">
        <v>97</v>
      </c>
      <c r="K846" s="272" t="s">
        <v>201</v>
      </c>
      <c r="L846" s="256" t="s">
        <v>154</v>
      </c>
      <c r="M846" s="252"/>
      <c r="N846" s="252"/>
      <c r="O846" s="252"/>
    </row>
    <row r="847" spans="1:15" hidden="1">
      <c r="A847" s="251">
        <v>45791</v>
      </c>
      <c r="B847" s="252" t="s">
        <v>1529</v>
      </c>
      <c r="C847" s="252" t="s">
        <v>122</v>
      </c>
      <c r="D847" s="253" t="s">
        <v>116</v>
      </c>
      <c r="E847" s="254">
        <v>500000</v>
      </c>
      <c r="F847" s="254">
        <v>857.76740984778746</v>
      </c>
      <c r="G847" s="264">
        <v>579.64599999999996</v>
      </c>
      <c r="H847" s="256" t="s">
        <v>147</v>
      </c>
      <c r="I847" s="256" t="s">
        <v>1878</v>
      </c>
      <c r="J847" s="256" t="s">
        <v>97</v>
      </c>
      <c r="K847" s="272" t="s">
        <v>201</v>
      </c>
      <c r="L847" s="256" t="s">
        <v>154</v>
      </c>
      <c r="M847" s="252"/>
      <c r="N847" s="252"/>
      <c r="O847" s="252"/>
    </row>
    <row r="848" spans="1:15" hidden="1">
      <c r="A848" s="251">
        <v>45792</v>
      </c>
      <c r="B848" s="252" t="s">
        <v>3754</v>
      </c>
      <c r="C848" s="252" t="s">
        <v>173</v>
      </c>
      <c r="D848" s="253" t="s">
        <v>442</v>
      </c>
      <c r="E848" s="254">
        <v>33000</v>
      </c>
      <c r="F848" s="254">
        <v>56.612649049953973</v>
      </c>
      <c r="G848" s="264">
        <v>579.64599999999996</v>
      </c>
      <c r="H848" s="256" t="s">
        <v>183</v>
      </c>
      <c r="I848" s="257" t="s">
        <v>1612</v>
      </c>
      <c r="J848" s="256" t="s">
        <v>97</v>
      </c>
      <c r="K848" s="272" t="s">
        <v>201</v>
      </c>
      <c r="L848" s="256" t="s">
        <v>154</v>
      </c>
      <c r="M848" s="252"/>
      <c r="N848" s="252"/>
      <c r="O848" s="252"/>
    </row>
    <row r="849" spans="1:15" hidden="1">
      <c r="A849" s="251">
        <v>45792</v>
      </c>
      <c r="B849" s="252" t="s">
        <v>3875</v>
      </c>
      <c r="C849" s="252" t="s">
        <v>173</v>
      </c>
      <c r="D849" s="253" t="s">
        <v>442</v>
      </c>
      <c r="E849" s="254">
        <v>33000</v>
      </c>
      <c r="F849" s="254">
        <v>56.612649049953973</v>
      </c>
      <c r="G849" s="264">
        <v>579.64599999999996</v>
      </c>
      <c r="H849" s="256" t="s">
        <v>174</v>
      </c>
      <c r="I849" s="256" t="s">
        <v>1642</v>
      </c>
      <c r="J849" s="256" t="s">
        <v>97</v>
      </c>
      <c r="K849" s="272" t="s">
        <v>201</v>
      </c>
      <c r="L849" s="256" t="s">
        <v>154</v>
      </c>
      <c r="M849" s="252"/>
      <c r="N849" s="252"/>
      <c r="O849" s="252"/>
    </row>
    <row r="850" spans="1:15" hidden="1">
      <c r="A850" s="251">
        <v>45792</v>
      </c>
      <c r="B850" s="252" t="s">
        <v>3658</v>
      </c>
      <c r="C850" s="252" t="s">
        <v>173</v>
      </c>
      <c r="D850" s="253" t="s">
        <v>442</v>
      </c>
      <c r="E850" s="254">
        <v>10000</v>
      </c>
      <c r="F850" s="254">
        <v>17.15534819695575</v>
      </c>
      <c r="G850" s="264">
        <v>579.64599999999996</v>
      </c>
      <c r="H850" s="256" t="s">
        <v>322</v>
      </c>
      <c r="I850" s="256" t="s">
        <v>1669</v>
      </c>
      <c r="J850" s="256" t="s">
        <v>97</v>
      </c>
      <c r="K850" s="272" t="s">
        <v>201</v>
      </c>
      <c r="L850" s="256" t="s">
        <v>154</v>
      </c>
      <c r="M850" s="252"/>
      <c r="N850" s="252"/>
      <c r="O850" s="252"/>
    </row>
    <row r="851" spans="1:15" hidden="1">
      <c r="A851" s="251">
        <v>45792</v>
      </c>
      <c r="B851" s="252" t="s">
        <v>1698</v>
      </c>
      <c r="C851" s="252" t="s">
        <v>173</v>
      </c>
      <c r="D851" s="253" t="s">
        <v>116</v>
      </c>
      <c r="E851" s="254">
        <v>33000</v>
      </c>
      <c r="F851" s="254">
        <v>56.612649049953973</v>
      </c>
      <c r="G851" s="264">
        <v>579.64599999999996</v>
      </c>
      <c r="H851" s="256" t="s">
        <v>199</v>
      </c>
      <c r="I851" s="257" t="s">
        <v>1699</v>
      </c>
      <c r="J851" s="256" t="s">
        <v>97</v>
      </c>
      <c r="K851" s="272" t="s">
        <v>201</v>
      </c>
      <c r="L851" s="256" t="s">
        <v>154</v>
      </c>
      <c r="M851" s="252"/>
      <c r="N851" s="252"/>
      <c r="O851" s="252"/>
    </row>
    <row r="852" spans="1:15" hidden="1">
      <c r="A852" s="251">
        <v>45792</v>
      </c>
      <c r="B852" s="252" t="s">
        <v>1803</v>
      </c>
      <c r="C852" s="252" t="s">
        <v>195</v>
      </c>
      <c r="D852" s="253" t="s">
        <v>116</v>
      </c>
      <c r="E852" s="254">
        <v>33000</v>
      </c>
      <c r="F852" s="254">
        <v>56.612649049953973</v>
      </c>
      <c r="G852" s="264">
        <v>579.64599999999996</v>
      </c>
      <c r="H852" s="256" t="s">
        <v>196</v>
      </c>
      <c r="I852" s="256" t="s">
        <v>1804</v>
      </c>
      <c r="J852" s="256" t="s">
        <v>97</v>
      </c>
      <c r="K852" s="272" t="s">
        <v>201</v>
      </c>
      <c r="L852" s="256" t="s">
        <v>154</v>
      </c>
      <c r="M852" s="252"/>
      <c r="N852" s="252"/>
      <c r="O852" s="252"/>
    </row>
    <row r="853" spans="1:15" hidden="1">
      <c r="A853" s="281">
        <v>45792</v>
      </c>
      <c r="B853" s="252" t="s">
        <v>1527</v>
      </c>
      <c r="C853" s="252" t="s">
        <v>124</v>
      </c>
      <c r="D853" s="252"/>
      <c r="E853" s="252"/>
      <c r="F853" s="290"/>
      <c r="G853" s="284">
        <f>+M853/N853</f>
        <v>560.94248000000005</v>
      </c>
      <c r="H853" s="252" t="s">
        <v>147</v>
      </c>
      <c r="I853" s="252" t="s">
        <v>1879</v>
      </c>
      <c r="J853" s="291" t="s">
        <v>97</v>
      </c>
      <c r="K853" s="292" t="s">
        <v>1903</v>
      </c>
      <c r="L853" s="291" t="s">
        <v>154</v>
      </c>
      <c r="M853" s="252">
        <v>14023562</v>
      </c>
      <c r="N853" s="252">
        <v>25000</v>
      </c>
      <c r="O853" s="252"/>
    </row>
    <row r="854" spans="1:15" hidden="1">
      <c r="A854" s="251">
        <v>45792</v>
      </c>
      <c r="B854" s="252" t="s">
        <v>1574</v>
      </c>
      <c r="C854" s="252" t="s">
        <v>151</v>
      </c>
      <c r="D854" s="253" t="s">
        <v>116</v>
      </c>
      <c r="E854" s="254">
        <v>10000</v>
      </c>
      <c r="F854" s="254">
        <v>17.15534819695575</v>
      </c>
      <c r="G854" s="264">
        <v>579.64599999999996</v>
      </c>
      <c r="H854" s="256" t="s">
        <v>152</v>
      </c>
      <c r="I854" s="275" t="s">
        <v>1690</v>
      </c>
      <c r="J854" s="256" t="s">
        <v>97</v>
      </c>
      <c r="K854" s="272" t="s">
        <v>201</v>
      </c>
      <c r="L854" s="256" t="s">
        <v>154</v>
      </c>
      <c r="M854" s="252"/>
      <c r="N854" s="252"/>
      <c r="O854" s="252"/>
    </row>
    <row r="855" spans="1:15" hidden="1">
      <c r="A855" s="251">
        <v>45792</v>
      </c>
      <c r="B855" s="252" t="s">
        <v>1700</v>
      </c>
      <c r="C855" s="258" t="s">
        <v>176</v>
      </c>
      <c r="D855" s="253" t="s">
        <v>116</v>
      </c>
      <c r="E855" s="254">
        <v>200000</v>
      </c>
      <c r="F855" s="254">
        <v>343.10696393911502</v>
      </c>
      <c r="G855" s="264">
        <v>579.64599999999996</v>
      </c>
      <c r="H855" s="256" t="s">
        <v>199</v>
      </c>
      <c r="I855" s="257" t="s">
        <v>1701</v>
      </c>
      <c r="J855" s="256" t="s">
        <v>97</v>
      </c>
      <c r="K855" s="272" t="s">
        <v>201</v>
      </c>
      <c r="L855" s="256" t="s">
        <v>154</v>
      </c>
      <c r="M855" s="252"/>
      <c r="N855" s="252"/>
      <c r="O855" s="252"/>
    </row>
    <row r="856" spans="1:15" hidden="1">
      <c r="A856" s="251">
        <v>45792</v>
      </c>
      <c r="B856" s="252" t="s">
        <v>1571</v>
      </c>
      <c r="C856" s="252" t="s">
        <v>151</v>
      </c>
      <c r="D856" s="253" t="s">
        <v>116</v>
      </c>
      <c r="E856" s="254">
        <v>5000</v>
      </c>
      <c r="F856" s="254">
        <v>8.5776740984778748</v>
      </c>
      <c r="G856" s="264">
        <v>579.64599999999996</v>
      </c>
      <c r="H856" s="256" t="s">
        <v>199</v>
      </c>
      <c r="I856" s="257" t="s">
        <v>1702</v>
      </c>
      <c r="J856" s="256" t="s">
        <v>97</v>
      </c>
      <c r="K856" s="272" t="s">
        <v>201</v>
      </c>
      <c r="L856" s="256" t="s">
        <v>154</v>
      </c>
      <c r="M856" s="252"/>
      <c r="N856" s="252"/>
      <c r="O856" s="252"/>
    </row>
    <row r="857" spans="1:15" hidden="1">
      <c r="A857" s="251">
        <v>45792</v>
      </c>
      <c r="B857" s="252" t="s">
        <v>1572</v>
      </c>
      <c r="C857" s="252" t="s">
        <v>151</v>
      </c>
      <c r="D857" s="253" t="s">
        <v>116</v>
      </c>
      <c r="E857" s="254">
        <v>5000</v>
      </c>
      <c r="F857" s="254">
        <v>8.5776740984778748</v>
      </c>
      <c r="G857" s="264">
        <v>579.64599999999996</v>
      </c>
      <c r="H857" s="256" t="s">
        <v>199</v>
      </c>
      <c r="I857" s="257" t="s">
        <v>1703</v>
      </c>
      <c r="J857" s="256" t="s">
        <v>97</v>
      </c>
      <c r="K857" s="272" t="s">
        <v>201</v>
      </c>
      <c r="L857" s="256" t="s">
        <v>154</v>
      </c>
      <c r="M857" s="252"/>
      <c r="N857" s="252"/>
      <c r="O857" s="252"/>
    </row>
    <row r="858" spans="1:15" hidden="1">
      <c r="A858" s="251">
        <v>45792</v>
      </c>
      <c r="B858" s="252" t="s">
        <v>1575</v>
      </c>
      <c r="C858" s="252" t="s">
        <v>151</v>
      </c>
      <c r="D858" s="253" t="s">
        <v>116</v>
      </c>
      <c r="E858" s="254">
        <v>10000</v>
      </c>
      <c r="F858" s="254">
        <v>17.15534819695575</v>
      </c>
      <c r="G858" s="264">
        <v>579.64599999999996</v>
      </c>
      <c r="H858" s="256" t="s">
        <v>583</v>
      </c>
      <c r="I858" s="256" t="s">
        <v>1742</v>
      </c>
      <c r="J858" s="256" t="s">
        <v>97</v>
      </c>
      <c r="K858" s="272" t="s">
        <v>201</v>
      </c>
      <c r="L858" s="256" t="s">
        <v>154</v>
      </c>
      <c r="M858" s="252"/>
      <c r="N858" s="252"/>
      <c r="O858" s="252"/>
    </row>
    <row r="859" spans="1:15" hidden="1">
      <c r="A859" s="251">
        <v>45792</v>
      </c>
      <c r="B859" s="252" t="s">
        <v>3761</v>
      </c>
      <c r="C859" s="258" t="s">
        <v>176</v>
      </c>
      <c r="D859" s="253" t="s">
        <v>442</v>
      </c>
      <c r="E859" s="254">
        <v>210000</v>
      </c>
      <c r="F859" s="254">
        <v>360.26231213607076</v>
      </c>
      <c r="G859" s="264">
        <v>579.64599999999996</v>
      </c>
      <c r="H859" s="256" t="s">
        <v>183</v>
      </c>
      <c r="I859" s="257" t="s">
        <v>1613</v>
      </c>
      <c r="J859" s="256" t="s">
        <v>97</v>
      </c>
      <c r="K859" s="272" t="s">
        <v>201</v>
      </c>
      <c r="L859" s="256" t="s">
        <v>154</v>
      </c>
      <c r="M859" s="252"/>
      <c r="N859" s="252"/>
      <c r="O859" s="252"/>
    </row>
    <row r="860" spans="1:15" hidden="1">
      <c r="A860" s="251">
        <v>45792</v>
      </c>
      <c r="B860" s="252" t="s">
        <v>1570</v>
      </c>
      <c r="C860" s="252" t="s">
        <v>151</v>
      </c>
      <c r="D860" s="253" t="s">
        <v>442</v>
      </c>
      <c r="E860" s="254">
        <v>10000</v>
      </c>
      <c r="F860" s="254">
        <v>17.15534819695575</v>
      </c>
      <c r="G860" s="264">
        <v>579.64599999999996</v>
      </c>
      <c r="H860" s="256" t="s">
        <v>183</v>
      </c>
      <c r="I860" s="257" t="s">
        <v>1630</v>
      </c>
      <c r="J860" s="256" t="s">
        <v>97</v>
      </c>
      <c r="K860" s="272" t="s">
        <v>201</v>
      </c>
      <c r="L860" s="256" t="s">
        <v>154</v>
      </c>
      <c r="M860" s="252"/>
      <c r="N860" s="252"/>
      <c r="O860" s="252"/>
    </row>
    <row r="861" spans="1:15" hidden="1">
      <c r="A861" s="251">
        <v>45792</v>
      </c>
      <c r="B861" s="252" t="s">
        <v>1573</v>
      </c>
      <c r="C861" s="252" t="s">
        <v>151</v>
      </c>
      <c r="D861" s="253" t="s">
        <v>442</v>
      </c>
      <c r="E861" s="254">
        <v>5000</v>
      </c>
      <c r="F861" s="254">
        <v>8.5776740984778748</v>
      </c>
      <c r="G861" s="264">
        <v>579.64599999999996</v>
      </c>
      <c r="H861" s="256" t="s">
        <v>183</v>
      </c>
      <c r="I861" s="257" t="s">
        <v>1631</v>
      </c>
      <c r="J861" s="256" t="s">
        <v>97</v>
      </c>
      <c r="K861" s="272" t="s">
        <v>201</v>
      </c>
      <c r="L861" s="256" t="s">
        <v>154</v>
      </c>
      <c r="M861" s="252"/>
      <c r="N861" s="252"/>
      <c r="O861" s="252"/>
    </row>
    <row r="862" spans="1:15" hidden="1">
      <c r="A862" s="251">
        <v>45792</v>
      </c>
      <c r="B862" s="252" t="s">
        <v>3885</v>
      </c>
      <c r="C862" s="258" t="s">
        <v>176</v>
      </c>
      <c r="D862" s="253" t="s">
        <v>442</v>
      </c>
      <c r="E862" s="254">
        <v>210000</v>
      </c>
      <c r="F862" s="254">
        <v>360.26231213607076</v>
      </c>
      <c r="G862" s="264">
        <v>579.64599999999996</v>
      </c>
      <c r="H862" s="256" t="s">
        <v>174</v>
      </c>
      <c r="I862" s="256" t="s">
        <v>1643</v>
      </c>
      <c r="J862" s="256" t="s">
        <v>97</v>
      </c>
      <c r="K862" s="272" t="s">
        <v>201</v>
      </c>
      <c r="L862" s="256" t="s">
        <v>154</v>
      </c>
      <c r="M862" s="252"/>
      <c r="N862" s="252"/>
      <c r="O862" s="252"/>
    </row>
    <row r="863" spans="1:15" hidden="1">
      <c r="A863" s="251">
        <v>45792</v>
      </c>
      <c r="B863" s="252" t="s">
        <v>3867</v>
      </c>
      <c r="C863" s="258" t="s">
        <v>176</v>
      </c>
      <c r="D863" s="253" t="s">
        <v>442</v>
      </c>
      <c r="E863" s="254">
        <v>15000</v>
      </c>
      <c r="F863" s="254">
        <v>25.733022295433624</v>
      </c>
      <c r="G863" s="264">
        <v>579.64599999999996</v>
      </c>
      <c r="H863" s="256" t="s">
        <v>174</v>
      </c>
      <c r="I863" s="256" t="s">
        <v>1644</v>
      </c>
      <c r="J863" s="256" t="s">
        <v>97</v>
      </c>
      <c r="K863" s="272" t="s">
        <v>201</v>
      </c>
      <c r="L863" s="256" t="s">
        <v>154</v>
      </c>
      <c r="M863" s="252"/>
      <c r="N863" s="252"/>
      <c r="O863" s="252"/>
    </row>
    <row r="864" spans="1:15" hidden="1">
      <c r="A864" s="251">
        <v>45792</v>
      </c>
      <c r="B864" s="252" t="s">
        <v>1570</v>
      </c>
      <c r="C864" s="252" t="s">
        <v>151</v>
      </c>
      <c r="D864" s="253" t="s">
        <v>442</v>
      </c>
      <c r="E864" s="254">
        <v>15000</v>
      </c>
      <c r="F864" s="254">
        <v>25.733022295433624</v>
      </c>
      <c r="G864" s="264">
        <v>579.64599999999996</v>
      </c>
      <c r="H864" s="256" t="s">
        <v>174</v>
      </c>
      <c r="I864" s="256" t="s">
        <v>1657</v>
      </c>
      <c r="J864" s="256" t="s">
        <v>97</v>
      </c>
      <c r="K864" s="272" t="s">
        <v>201</v>
      </c>
      <c r="L864" s="256" t="s">
        <v>154</v>
      </c>
      <c r="M864" s="252"/>
      <c r="N864" s="252"/>
      <c r="O864" s="252"/>
    </row>
    <row r="865" spans="1:15" hidden="1">
      <c r="A865" s="251">
        <v>45792</v>
      </c>
      <c r="B865" s="252" t="s">
        <v>3672</v>
      </c>
      <c r="C865" s="258" t="s">
        <v>176</v>
      </c>
      <c r="D865" s="253" t="s">
        <v>442</v>
      </c>
      <c r="E865" s="254">
        <v>80000</v>
      </c>
      <c r="F865" s="254">
        <v>137.242785575646</v>
      </c>
      <c r="G865" s="264">
        <v>579.64599999999996</v>
      </c>
      <c r="H865" s="256" t="s">
        <v>322</v>
      </c>
      <c r="I865" s="256" t="s">
        <v>1670</v>
      </c>
      <c r="J865" s="256" t="s">
        <v>97</v>
      </c>
      <c r="K865" s="272" t="s">
        <v>201</v>
      </c>
      <c r="L865" s="256" t="s">
        <v>154</v>
      </c>
      <c r="M865" s="252"/>
      <c r="N865" s="252"/>
      <c r="O865" s="252"/>
    </row>
    <row r="866" spans="1:15" hidden="1">
      <c r="A866" s="251">
        <v>45792</v>
      </c>
      <c r="B866" s="252" t="s">
        <v>1570</v>
      </c>
      <c r="C866" s="252" t="s">
        <v>151</v>
      </c>
      <c r="D866" s="253" t="s">
        <v>442</v>
      </c>
      <c r="E866" s="254">
        <v>5000</v>
      </c>
      <c r="F866" s="254">
        <v>8.5776740984778748</v>
      </c>
      <c r="G866" s="264">
        <v>579.64599999999996</v>
      </c>
      <c r="H866" s="256" t="s">
        <v>322</v>
      </c>
      <c r="I866" s="256" t="s">
        <v>1684</v>
      </c>
      <c r="J866" s="256" t="s">
        <v>97</v>
      </c>
      <c r="K866" s="272" t="s">
        <v>201</v>
      </c>
      <c r="L866" s="256" t="s">
        <v>154</v>
      </c>
      <c r="M866" s="252"/>
      <c r="N866" s="252"/>
      <c r="O866" s="252"/>
    </row>
    <row r="867" spans="1:15" hidden="1">
      <c r="A867" s="251">
        <v>45792</v>
      </c>
      <c r="B867" s="252" t="s">
        <v>1573</v>
      </c>
      <c r="C867" s="252" t="s">
        <v>151</v>
      </c>
      <c r="D867" s="253" t="s">
        <v>442</v>
      </c>
      <c r="E867" s="254">
        <v>10000</v>
      </c>
      <c r="F867" s="254">
        <v>17.15534819695575</v>
      </c>
      <c r="G867" s="264">
        <v>579.64599999999996</v>
      </c>
      <c r="H867" s="256" t="s">
        <v>322</v>
      </c>
      <c r="I867" s="256" t="s">
        <v>1685</v>
      </c>
      <c r="J867" s="256" t="s">
        <v>97</v>
      </c>
      <c r="K867" s="272" t="s">
        <v>201</v>
      </c>
      <c r="L867" s="256" t="s">
        <v>154</v>
      </c>
      <c r="M867" s="252"/>
      <c r="N867" s="252"/>
      <c r="O867" s="252"/>
    </row>
    <row r="868" spans="1:15" hidden="1">
      <c r="A868" s="251">
        <v>45792</v>
      </c>
      <c r="B868" s="252" t="s">
        <v>1571</v>
      </c>
      <c r="C868" s="252" t="s">
        <v>151</v>
      </c>
      <c r="D868" s="253" t="s">
        <v>116</v>
      </c>
      <c r="E868" s="254">
        <v>5000</v>
      </c>
      <c r="F868" s="254">
        <v>8.5776740984778748</v>
      </c>
      <c r="G868" s="264">
        <v>579.64599999999996</v>
      </c>
      <c r="H868" s="256" t="s">
        <v>189</v>
      </c>
      <c r="I868" s="256" t="s">
        <v>1755</v>
      </c>
      <c r="J868" s="256" t="s">
        <v>97</v>
      </c>
      <c r="K868" s="272" t="s">
        <v>201</v>
      </c>
      <c r="L868" s="256" t="s">
        <v>154</v>
      </c>
      <c r="M868" s="252"/>
      <c r="N868" s="252"/>
      <c r="O868" s="252"/>
    </row>
    <row r="869" spans="1:15" hidden="1">
      <c r="A869" s="251">
        <v>45792</v>
      </c>
      <c r="B869" s="252" t="s">
        <v>1572</v>
      </c>
      <c r="C869" s="252" t="s">
        <v>151</v>
      </c>
      <c r="D869" s="253" t="s">
        <v>116</v>
      </c>
      <c r="E869" s="254">
        <v>5000</v>
      </c>
      <c r="F869" s="254">
        <v>8.5776740984778748</v>
      </c>
      <c r="G869" s="264">
        <v>579.64599999999996</v>
      </c>
      <c r="H869" s="256" t="s">
        <v>189</v>
      </c>
      <c r="I869" s="256" t="s">
        <v>1756</v>
      </c>
      <c r="J869" s="256" t="s">
        <v>97</v>
      </c>
      <c r="K869" s="272" t="s">
        <v>201</v>
      </c>
      <c r="L869" s="256" t="s">
        <v>154</v>
      </c>
      <c r="M869" s="252"/>
      <c r="N869" s="252"/>
      <c r="O869" s="252"/>
    </row>
    <row r="870" spans="1:15" hidden="1">
      <c r="A870" s="251">
        <v>45792</v>
      </c>
      <c r="B870" s="252" t="s">
        <v>1571</v>
      </c>
      <c r="C870" s="252" t="s">
        <v>151</v>
      </c>
      <c r="D870" s="253" t="s">
        <v>116</v>
      </c>
      <c r="E870" s="254">
        <v>10000</v>
      </c>
      <c r="F870" s="254">
        <v>17.15534819695575</v>
      </c>
      <c r="G870" s="264">
        <v>579.64599999999996</v>
      </c>
      <c r="H870" s="256" t="s">
        <v>192</v>
      </c>
      <c r="I870" s="256" t="s">
        <v>1779</v>
      </c>
      <c r="J870" s="256" t="s">
        <v>97</v>
      </c>
      <c r="K870" s="272" t="s">
        <v>201</v>
      </c>
      <c r="L870" s="256" t="s">
        <v>154</v>
      </c>
      <c r="M870" s="252"/>
      <c r="N870" s="252"/>
      <c r="O870" s="252"/>
    </row>
    <row r="871" spans="1:15" hidden="1">
      <c r="A871" s="251">
        <v>45792</v>
      </c>
      <c r="B871" s="252" t="s">
        <v>1805</v>
      </c>
      <c r="C871" s="258" t="s">
        <v>176</v>
      </c>
      <c r="D871" s="253" t="s">
        <v>116</v>
      </c>
      <c r="E871" s="254">
        <v>200000</v>
      </c>
      <c r="F871" s="254">
        <v>343.10696393911502</v>
      </c>
      <c r="G871" s="264">
        <v>579.64599999999996</v>
      </c>
      <c r="H871" s="256" t="s">
        <v>196</v>
      </c>
      <c r="I871" s="256" t="s">
        <v>1806</v>
      </c>
      <c r="J871" s="256" t="s">
        <v>97</v>
      </c>
      <c r="K871" s="272" t="s">
        <v>201</v>
      </c>
      <c r="L871" s="256" t="s">
        <v>154</v>
      </c>
      <c r="M871" s="252"/>
      <c r="N871" s="252"/>
      <c r="O871" s="252"/>
    </row>
    <row r="872" spans="1:15" hidden="1">
      <c r="A872" s="251">
        <v>45792</v>
      </c>
      <c r="B872" s="252" t="s">
        <v>1571</v>
      </c>
      <c r="C872" s="252" t="s">
        <v>151</v>
      </c>
      <c r="D872" s="253" t="s">
        <v>116</v>
      </c>
      <c r="E872" s="254">
        <v>10000</v>
      </c>
      <c r="F872" s="254">
        <v>17.15534819695575</v>
      </c>
      <c r="G872" s="264">
        <v>579.64599999999996</v>
      </c>
      <c r="H872" s="256" t="s">
        <v>196</v>
      </c>
      <c r="I872" s="256" t="s">
        <v>1807</v>
      </c>
      <c r="J872" s="256" t="s">
        <v>97</v>
      </c>
      <c r="K872" s="272" t="s">
        <v>201</v>
      </c>
      <c r="L872" s="256" t="s">
        <v>154</v>
      </c>
      <c r="M872" s="252"/>
      <c r="N872" s="252"/>
      <c r="O872" s="252"/>
    </row>
    <row r="873" spans="1:15" hidden="1">
      <c r="A873" s="251">
        <v>45792</v>
      </c>
      <c r="B873" s="252" t="s">
        <v>1571</v>
      </c>
      <c r="C873" s="252" t="s">
        <v>151</v>
      </c>
      <c r="D873" s="253" t="s">
        <v>116</v>
      </c>
      <c r="E873" s="254">
        <v>10000</v>
      </c>
      <c r="F873" s="254">
        <v>17.15534819695575</v>
      </c>
      <c r="G873" s="264">
        <v>579.64599999999996</v>
      </c>
      <c r="H873" s="256" t="s">
        <v>186</v>
      </c>
      <c r="I873" s="256" t="s">
        <v>1859</v>
      </c>
      <c r="J873" s="256" t="s">
        <v>97</v>
      </c>
      <c r="K873" s="272" t="s">
        <v>201</v>
      </c>
      <c r="L873" s="256" t="s">
        <v>154</v>
      </c>
      <c r="M873" s="252"/>
      <c r="N873" s="252"/>
      <c r="O873" s="252"/>
    </row>
    <row r="874" spans="1:15" hidden="1">
      <c r="A874" s="251">
        <v>45793</v>
      </c>
      <c r="B874" s="252" t="s">
        <v>1704</v>
      </c>
      <c r="C874" s="258" t="s">
        <v>176</v>
      </c>
      <c r="D874" s="253" t="s">
        <v>116</v>
      </c>
      <c r="E874" s="254">
        <v>15000</v>
      </c>
      <c r="F874" s="254">
        <v>25.733022295433624</v>
      </c>
      <c r="G874" s="264">
        <v>579.64599999999996</v>
      </c>
      <c r="H874" s="256" t="s">
        <v>199</v>
      </c>
      <c r="I874" s="257" t="s">
        <v>1705</v>
      </c>
      <c r="J874" s="256" t="s">
        <v>97</v>
      </c>
      <c r="K874" s="272" t="s">
        <v>201</v>
      </c>
      <c r="L874" s="256" t="s">
        <v>154</v>
      </c>
      <c r="M874" s="252"/>
      <c r="N874" s="252"/>
      <c r="O874" s="252"/>
    </row>
    <row r="875" spans="1:15" hidden="1">
      <c r="A875" s="251">
        <v>45793</v>
      </c>
      <c r="B875" s="252" t="s">
        <v>3770</v>
      </c>
      <c r="C875" s="258" t="s">
        <v>176</v>
      </c>
      <c r="D875" s="253" t="s">
        <v>442</v>
      </c>
      <c r="E875" s="254">
        <v>15000</v>
      </c>
      <c r="F875" s="254">
        <v>25.733022295433624</v>
      </c>
      <c r="G875" s="264">
        <v>579.64599999999996</v>
      </c>
      <c r="H875" s="256" t="s">
        <v>183</v>
      </c>
      <c r="I875" s="257" t="s">
        <v>1614</v>
      </c>
      <c r="J875" s="256" t="s">
        <v>97</v>
      </c>
      <c r="K875" s="272" t="s">
        <v>201</v>
      </c>
      <c r="L875" s="256" t="s">
        <v>154</v>
      </c>
      <c r="M875" s="252"/>
      <c r="N875" s="252"/>
      <c r="O875" s="252"/>
    </row>
    <row r="876" spans="1:15" hidden="1">
      <c r="A876" s="251">
        <v>45793</v>
      </c>
      <c r="B876" s="252" t="s">
        <v>1808</v>
      </c>
      <c r="C876" s="258" t="s">
        <v>176</v>
      </c>
      <c r="D876" s="253" t="s">
        <v>116</v>
      </c>
      <c r="E876" s="254">
        <v>15000</v>
      </c>
      <c r="F876" s="254">
        <v>25.733022295433624</v>
      </c>
      <c r="G876" s="264">
        <v>579.64599999999996</v>
      </c>
      <c r="H876" s="256" t="s">
        <v>196</v>
      </c>
      <c r="I876" s="256" t="s">
        <v>1809</v>
      </c>
      <c r="J876" s="256" t="s">
        <v>97</v>
      </c>
      <c r="K876" s="272" t="s">
        <v>201</v>
      </c>
      <c r="L876" s="256" t="s">
        <v>154</v>
      </c>
      <c r="M876" s="252"/>
      <c r="N876" s="252"/>
      <c r="O876" s="252"/>
    </row>
    <row r="877" spans="1:15" hidden="1">
      <c r="A877" s="251">
        <v>45796</v>
      </c>
      <c r="B877" s="252" t="s">
        <v>3871</v>
      </c>
      <c r="C877" s="258" t="s">
        <v>176</v>
      </c>
      <c r="D877" s="253" t="s">
        <v>442</v>
      </c>
      <c r="E877" s="254">
        <v>45000</v>
      </c>
      <c r="F877" s="254">
        <v>77.199066886300869</v>
      </c>
      <c r="G877" s="264">
        <v>579.64599999999996</v>
      </c>
      <c r="H877" s="256" t="s">
        <v>174</v>
      </c>
      <c r="I877" s="256" t="s">
        <v>1645</v>
      </c>
      <c r="J877" s="256" t="s">
        <v>97</v>
      </c>
      <c r="K877" s="272" t="s">
        <v>201</v>
      </c>
      <c r="L877" s="256" t="s">
        <v>154</v>
      </c>
      <c r="M877" s="252"/>
      <c r="N877" s="252"/>
      <c r="O877" s="252"/>
    </row>
    <row r="878" spans="1:15" hidden="1">
      <c r="A878" s="251">
        <v>45796</v>
      </c>
      <c r="B878" s="252" t="s">
        <v>3673</v>
      </c>
      <c r="C878" s="258" t="s">
        <v>176</v>
      </c>
      <c r="D878" s="253" t="s">
        <v>442</v>
      </c>
      <c r="E878" s="254">
        <v>60000</v>
      </c>
      <c r="F878" s="254">
        <v>102.9320891817345</v>
      </c>
      <c r="G878" s="264">
        <v>579.64599999999996</v>
      </c>
      <c r="H878" s="256" t="s">
        <v>322</v>
      </c>
      <c r="I878" s="256" t="s">
        <v>1671</v>
      </c>
      <c r="J878" s="256" t="s">
        <v>97</v>
      </c>
      <c r="K878" s="272" t="s">
        <v>201</v>
      </c>
      <c r="L878" s="256" t="s">
        <v>154</v>
      </c>
      <c r="M878" s="252"/>
      <c r="N878" s="252"/>
      <c r="O878" s="252"/>
    </row>
    <row r="879" spans="1:15" hidden="1">
      <c r="A879" s="251">
        <v>45796</v>
      </c>
      <c r="B879" s="252" t="s">
        <v>3659</v>
      </c>
      <c r="C879" s="252" t="s">
        <v>173</v>
      </c>
      <c r="D879" s="253" t="s">
        <v>442</v>
      </c>
      <c r="E879" s="254">
        <v>7000</v>
      </c>
      <c r="F879" s="254">
        <v>12.008743737869025</v>
      </c>
      <c r="G879" s="264">
        <v>579.64599999999996</v>
      </c>
      <c r="H879" s="256" t="s">
        <v>322</v>
      </c>
      <c r="I879" s="256" t="s">
        <v>1672</v>
      </c>
      <c r="J879" s="256" t="s">
        <v>97</v>
      </c>
      <c r="K879" s="272" t="s">
        <v>201</v>
      </c>
      <c r="L879" s="256" t="s">
        <v>154</v>
      </c>
      <c r="M879" s="252"/>
      <c r="N879" s="252"/>
      <c r="O879" s="252"/>
    </row>
    <row r="880" spans="1:15" hidden="1">
      <c r="A880" s="251">
        <v>45796</v>
      </c>
      <c r="B880" s="252" t="s">
        <v>1541</v>
      </c>
      <c r="C880" s="259" t="s">
        <v>2087</v>
      </c>
      <c r="D880" s="252" t="s">
        <v>117</v>
      </c>
      <c r="E880" s="254">
        <v>23970</v>
      </c>
      <c r="F880" s="254">
        <v>41.121369628102933</v>
      </c>
      <c r="G880" s="264">
        <v>579.64599999999996</v>
      </c>
      <c r="H880" s="256" t="s">
        <v>189</v>
      </c>
      <c r="I880" s="256" t="s">
        <v>1749</v>
      </c>
      <c r="J880" s="256" t="s">
        <v>97</v>
      </c>
      <c r="K880" s="272" t="s">
        <v>201</v>
      </c>
      <c r="L880" s="256" t="s">
        <v>154</v>
      </c>
      <c r="M880" s="252"/>
      <c r="N880" s="252"/>
      <c r="O880" s="252"/>
    </row>
    <row r="881" spans="1:15" hidden="1">
      <c r="A881" s="251">
        <v>45796</v>
      </c>
      <c r="B881" s="252" t="s">
        <v>1542</v>
      </c>
      <c r="C881" s="258" t="s">
        <v>1543</v>
      </c>
      <c r="D881" s="252" t="s">
        <v>117</v>
      </c>
      <c r="E881" s="254">
        <v>42000</v>
      </c>
      <c r="F881" s="254">
        <v>72.052462427214152</v>
      </c>
      <c r="G881" s="264">
        <v>579.64599999999996</v>
      </c>
      <c r="H881" s="256" t="s">
        <v>186</v>
      </c>
      <c r="I881" s="256" t="s">
        <v>1771</v>
      </c>
      <c r="J881" s="256" t="s">
        <v>97</v>
      </c>
      <c r="K881" s="272" t="s">
        <v>201</v>
      </c>
      <c r="L881" s="256" t="s">
        <v>154</v>
      </c>
      <c r="M881" s="252"/>
      <c r="N881" s="252"/>
      <c r="O881" s="252"/>
    </row>
    <row r="882" spans="1:15" hidden="1">
      <c r="A882" s="251">
        <v>45797</v>
      </c>
      <c r="B882" s="252" t="s">
        <v>3759</v>
      </c>
      <c r="C882" s="252" t="s">
        <v>173</v>
      </c>
      <c r="D882" s="253" t="s">
        <v>442</v>
      </c>
      <c r="E882" s="254">
        <v>10000</v>
      </c>
      <c r="F882" s="254">
        <v>17.15534819695575</v>
      </c>
      <c r="G882" s="264">
        <v>579.64599999999996</v>
      </c>
      <c r="H882" s="256" t="s">
        <v>183</v>
      </c>
      <c r="I882" s="257" t="s">
        <v>1615</v>
      </c>
      <c r="J882" s="256" t="s">
        <v>97</v>
      </c>
      <c r="K882" s="272" t="s">
        <v>201</v>
      </c>
      <c r="L882" s="256" t="s">
        <v>154</v>
      </c>
      <c r="M882" s="252"/>
      <c r="N882" s="252"/>
      <c r="O882" s="252"/>
    </row>
    <row r="883" spans="1:15" hidden="1">
      <c r="A883" s="251">
        <v>45797</v>
      </c>
      <c r="B883" s="252" t="s">
        <v>3754</v>
      </c>
      <c r="C883" s="252" t="s">
        <v>173</v>
      </c>
      <c r="D883" s="253" t="s">
        <v>442</v>
      </c>
      <c r="E883" s="254">
        <v>10000</v>
      </c>
      <c r="F883" s="254">
        <v>17.15534819695575</v>
      </c>
      <c r="G883" s="264">
        <v>579.64599999999996</v>
      </c>
      <c r="H883" s="256" t="s">
        <v>183</v>
      </c>
      <c r="I883" s="257" t="s">
        <v>1616</v>
      </c>
      <c r="J883" s="256" t="s">
        <v>97</v>
      </c>
      <c r="K883" s="272" t="s">
        <v>201</v>
      </c>
      <c r="L883" s="256" t="s">
        <v>154</v>
      </c>
      <c r="M883" s="252"/>
      <c r="N883" s="252"/>
      <c r="O883" s="252"/>
    </row>
    <row r="884" spans="1:15" hidden="1">
      <c r="A884" s="251">
        <v>45797</v>
      </c>
      <c r="B884" s="252" t="s">
        <v>3888</v>
      </c>
      <c r="C884" s="252" t="s">
        <v>1007</v>
      </c>
      <c r="D884" s="253" t="s">
        <v>442</v>
      </c>
      <c r="E884" s="254">
        <v>10000</v>
      </c>
      <c r="F884" s="254">
        <v>17.15534819695575</v>
      </c>
      <c r="G884" s="264">
        <v>579.64599999999996</v>
      </c>
      <c r="H884" s="256" t="s">
        <v>174</v>
      </c>
      <c r="I884" s="256" t="s">
        <v>1646</v>
      </c>
      <c r="J884" s="256" t="s">
        <v>97</v>
      </c>
      <c r="K884" s="272" t="s">
        <v>201</v>
      </c>
      <c r="L884" s="256" t="s">
        <v>154</v>
      </c>
      <c r="M884" s="252"/>
      <c r="N884" s="252"/>
      <c r="O884" s="252"/>
    </row>
    <row r="885" spans="1:15" hidden="1">
      <c r="A885" s="251">
        <v>45797</v>
      </c>
      <c r="B885" s="252" t="s">
        <v>3694</v>
      </c>
      <c r="C885" s="252" t="s">
        <v>173</v>
      </c>
      <c r="D885" s="253" t="s">
        <v>442</v>
      </c>
      <c r="E885" s="254">
        <v>9000</v>
      </c>
      <c r="F885" s="254">
        <v>15.439813377260174</v>
      </c>
      <c r="G885" s="264">
        <v>579.64599999999996</v>
      </c>
      <c r="H885" s="256" t="s">
        <v>316</v>
      </c>
      <c r="I885" s="256" t="s">
        <v>1588</v>
      </c>
      <c r="J885" s="256" t="s">
        <v>97</v>
      </c>
      <c r="K885" s="272" t="s">
        <v>201</v>
      </c>
      <c r="L885" s="256" t="s">
        <v>154</v>
      </c>
      <c r="M885" s="252"/>
      <c r="N885" s="252"/>
      <c r="O885" s="252"/>
    </row>
    <row r="886" spans="1:15" hidden="1">
      <c r="A886" s="251">
        <v>45797</v>
      </c>
      <c r="B886" s="252" t="s">
        <v>1569</v>
      </c>
      <c r="C886" s="252" t="s">
        <v>151</v>
      </c>
      <c r="D886" s="253" t="s">
        <v>442</v>
      </c>
      <c r="E886" s="254">
        <v>10000</v>
      </c>
      <c r="F886" s="254">
        <v>17.827139780891613</v>
      </c>
      <c r="G886" s="264">
        <v>579.64599999999996</v>
      </c>
      <c r="H886" s="256" t="s">
        <v>316</v>
      </c>
      <c r="I886" s="256" t="s">
        <v>1602</v>
      </c>
      <c r="J886" s="256" t="s">
        <v>97</v>
      </c>
      <c r="K886" s="272" t="s">
        <v>201</v>
      </c>
      <c r="L886" s="256" t="s">
        <v>154</v>
      </c>
      <c r="M886" s="252"/>
      <c r="N886" s="252"/>
      <c r="O886" s="252"/>
    </row>
    <row r="887" spans="1:15" hidden="1">
      <c r="A887" s="251">
        <v>45797</v>
      </c>
      <c r="B887" s="252" t="s">
        <v>1757</v>
      </c>
      <c r="C887" s="252" t="s">
        <v>173</v>
      </c>
      <c r="D887" s="253" t="s">
        <v>116</v>
      </c>
      <c r="E887" s="254">
        <v>10000</v>
      </c>
      <c r="F887" s="254">
        <v>17.827139780891613</v>
      </c>
      <c r="G887" s="264">
        <v>579.64599999999996</v>
      </c>
      <c r="H887" s="256" t="s">
        <v>189</v>
      </c>
      <c r="I887" s="256" t="s">
        <v>1758</v>
      </c>
      <c r="J887" s="256" t="s">
        <v>97</v>
      </c>
      <c r="K887" s="272" t="s">
        <v>201</v>
      </c>
      <c r="L887" s="256" t="s">
        <v>154</v>
      </c>
      <c r="M887" s="252"/>
      <c r="N887" s="252"/>
      <c r="O887" s="252"/>
    </row>
    <row r="888" spans="1:15" hidden="1">
      <c r="A888" s="251">
        <v>45797</v>
      </c>
      <c r="B888" s="252" t="s">
        <v>1846</v>
      </c>
      <c r="C888" s="252" t="s">
        <v>173</v>
      </c>
      <c r="D888" s="253" t="s">
        <v>116</v>
      </c>
      <c r="E888" s="254">
        <v>29000</v>
      </c>
      <c r="F888" s="254">
        <v>51.698705364585685</v>
      </c>
      <c r="G888" s="264">
        <v>579.64599999999996</v>
      </c>
      <c r="H888" s="256" t="s">
        <v>189</v>
      </c>
      <c r="I888" s="256" t="s">
        <v>1842</v>
      </c>
      <c r="J888" s="256" t="s">
        <v>97</v>
      </c>
      <c r="K888" s="272" t="s">
        <v>201</v>
      </c>
      <c r="L888" s="256" t="s">
        <v>154</v>
      </c>
      <c r="M888" s="252"/>
      <c r="N888" s="252"/>
      <c r="O888" s="252"/>
    </row>
    <row r="889" spans="1:15" hidden="1">
      <c r="A889" s="251">
        <v>45797</v>
      </c>
      <c r="B889" s="252" t="s">
        <v>1847</v>
      </c>
      <c r="C889" s="258" t="s">
        <v>176</v>
      </c>
      <c r="D889" s="253" t="s">
        <v>116</v>
      </c>
      <c r="E889" s="254">
        <v>50000</v>
      </c>
      <c r="F889" s="254">
        <v>89.135698904458081</v>
      </c>
      <c r="G889" s="264">
        <v>579.64599999999996</v>
      </c>
      <c r="H889" s="256" t="s">
        <v>189</v>
      </c>
      <c r="I889" s="256" t="s">
        <v>1843</v>
      </c>
      <c r="J889" s="256" t="s">
        <v>97</v>
      </c>
      <c r="K889" s="272" t="s">
        <v>201</v>
      </c>
      <c r="L889" s="256" t="s">
        <v>154</v>
      </c>
      <c r="M889" s="252"/>
      <c r="N889" s="252"/>
      <c r="O889" s="252"/>
    </row>
    <row r="890" spans="1:15" hidden="1">
      <c r="A890" s="251">
        <v>45797</v>
      </c>
      <c r="B890" s="252" t="s">
        <v>1780</v>
      </c>
      <c r="C890" s="252" t="s">
        <v>173</v>
      </c>
      <c r="D890" s="253" t="s">
        <v>116</v>
      </c>
      <c r="E890" s="254">
        <v>8000</v>
      </c>
      <c r="F890" s="254">
        <v>14.261711824713291</v>
      </c>
      <c r="G890" s="264">
        <v>579.64599999999996</v>
      </c>
      <c r="H890" s="256" t="s">
        <v>192</v>
      </c>
      <c r="I890" s="256" t="s">
        <v>1781</v>
      </c>
      <c r="J890" s="256" t="s">
        <v>97</v>
      </c>
      <c r="K890" s="272" t="s">
        <v>201</v>
      </c>
      <c r="L890" s="256" t="s">
        <v>154</v>
      </c>
      <c r="M890" s="252"/>
      <c r="N890" s="252"/>
      <c r="O890" s="252"/>
    </row>
    <row r="891" spans="1:15" hidden="1">
      <c r="A891" s="251">
        <v>45797</v>
      </c>
      <c r="B891" s="252" t="s">
        <v>1544</v>
      </c>
      <c r="C891" s="252" t="s">
        <v>126</v>
      </c>
      <c r="D891" s="252" t="s">
        <v>119</v>
      </c>
      <c r="E891" s="254">
        <v>30000</v>
      </c>
      <c r="F891" s="254">
        <v>53.481419342674847</v>
      </c>
      <c r="G891" s="255">
        <v>560.94248000000005</v>
      </c>
      <c r="H891" s="256" t="s">
        <v>212</v>
      </c>
      <c r="I891" s="261" t="s">
        <v>1824</v>
      </c>
      <c r="J891" s="256" t="s">
        <v>97</v>
      </c>
      <c r="K891" s="269" t="s">
        <v>1903</v>
      </c>
      <c r="L891" s="274" t="s">
        <v>154</v>
      </c>
      <c r="M891" s="252"/>
      <c r="N891" s="252"/>
      <c r="O891" s="252"/>
    </row>
    <row r="892" spans="1:15" hidden="1">
      <c r="A892" s="251">
        <v>45797</v>
      </c>
      <c r="B892" s="252" t="s">
        <v>1568</v>
      </c>
      <c r="C892" s="252" t="s">
        <v>151</v>
      </c>
      <c r="D892" s="252" t="s">
        <v>119</v>
      </c>
      <c r="E892" s="254">
        <v>10000</v>
      </c>
      <c r="F892" s="254">
        <v>17.827139780891613</v>
      </c>
      <c r="G892" s="264">
        <v>579.64599999999996</v>
      </c>
      <c r="H892" s="256" t="s">
        <v>212</v>
      </c>
      <c r="I892" s="256" t="s">
        <v>1836</v>
      </c>
      <c r="J892" s="256" t="s">
        <v>97</v>
      </c>
      <c r="K892" s="272" t="s">
        <v>201</v>
      </c>
      <c r="L892" s="256" t="s">
        <v>154</v>
      </c>
      <c r="M892" s="252"/>
      <c r="N892" s="252"/>
      <c r="O892" s="252"/>
    </row>
    <row r="893" spans="1:15" hidden="1">
      <c r="A893" s="251">
        <v>45797</v>
      </c>
      <c r="B893" s="252" t="s">
        <v>1860</v>
      </c>
      <c r="C893" s="252" t="s">
        <v>173</v>
      </c>
      <c r="D893" s="253" t="s">
        <v>116</v>
      </c>
      <c r="E893" s="254">
        <v>7000</v>
      </c>
      <c r="F893" s="254">
        <v>12.47899784662413</v>
      </c>
      <c r="G893" s="264">
        <v>579.64599999999996</v>
      </c>
      <c r="H893" s="256" t="s">
        <v>186</v>
      </c>
      <c r="I893" s="256" t="s">
        <v>1861</v>
      </c>
      <c r="J893" s="256" t="s">
        <v>97</v>
      </c>
      <c r="K893" s="272" t="s">
        <v>201</v>
      </c>
      <c r="L893" s="256" t="s">
        <v>154</v>
      </c>
      <c r="M893" s="252"/>
      <c r="N893" s="252"/>
      <c r="O893" s="252"/>
    </row>
    <row r="894" spans="1:15" hidden="1">
      <c r="A894" s="251">
        <v>45798</v>
      </c>
      <c r="B894" s="252" t="s">
        <v>1545</v>
      </c>
      <c r="C894" s="258" t="s">
        <v>1543</v>
      </c>
      <c r="D894" s="252" t="s">
        <v>117</v>
      </c>
      <c r="E894" s="254">
        <v>80000</v>
      </c>
      <c r="F894" s="254">
        <v>142.61711824713291</v>
      </c>
      <c r="G894" s="264">
        <v>579.64599999999996</v>
      </c>
      <c r="H894" s="256" t="s">
        <v>583</v>
      </c>
      <c r="I894" s="256" t="s">
        <v>1729</v>
      </c>
      <c r="J894" s="256" t="s">
        <v>97</v>
      </c>
      <c r="K894" s="272" t="s">
        <v>201</v>
      </c>
      <c r="L894" s="256" t="s">
        <v>154</v>
      </c>
      <c r="M894" s="252"/>
      <c r="N894" s="252"/>
      <c r="O894" s="252"/>
    </row>
    <row r="895" spans="1:15" hidden="1">
      <c r="A895" s="251">
        <v>45798</v>
      </c>
      <c r="B895" s="252" t="s">
        <v>1647</v>
      </c>
      <c r="C895" s="252" t="s">
        <v>368</v>
      </c>
      <c r="D895" s="253" t="s">
        <v>442</v>
      </c>
      <c r="E895" s="254">
        <v>23000</v>
      </c>
      <c r="F895" s="254">
        <v>41.002421496050715</v>
      </c>
      <c r="G895" s="264">
        <v>579.64599999999996</v>
      </c>
      <c r="H895" s="256" t="s">
        <v>174</v>
      </c>
      <c r="I895" s="256" t="s">
        <v>1648</v>
      </c>
      <c r="J895" s="256" t="s">
        <v>97</v>
      </c>
      <c r="K895" s="272" t="s">
        <v>201</v>
      </c>
      <c r="L895" s="256" t="s">
        <v>154</v>
      </c>
      <c r="M895" s="252"/>
      <c r="N895" s="252"/>
      <c r="O895" s="252"/>
    </row>
    <row r="896" spans="1:15" hidden="1">
      <c r="A896" s="251">
        <v>45798</v>
      </c>
      <c r="B896" s="252" t="s">
        <v>3701</v>
      </c>
      <c r="C896" s="258" t="s">
        <v>176</v>
      </c>
      <c r="D896" s="253" t="s">
        <v>442</v>
      </c>
      <c r="E896" s="254">
        <v>80000</v>
      </c>
      <c r="F896" s="254">
        <v>142.61711824713291</v>
      </c>
      <c r="G896" s="264">
        <v>579.64599999999996</v>
      </c>
      <c r="H896" s="256" t="s">
        <v>316</v>
      </c>
      <c r="I896" s="256" t="s">
        <v>1589</v>
      </c>
      <c r="J896" s="256" t="s">
        <v>97</v>
      </c>
      <c r="K896" s="272" t="s">
        <v>201</v>
      </c>
      <c r="L896" s="256" t="s">
        <v>154</v>
      </c>
      <c r="M896" s="252"/>
      <c r="N896" s="252"/>
      <c r="O896" s="252"/>
    </row>
    <row r="897" spans="1:15" hidden="1">
      <c r="A897" s="251">
        <v>45798</v>
      </c>
      <c r="B897" s="252" t="s">
        <v>3673</v>
      </c>
      <c r="C897" s="258" t="s">
        <v>176</v>
      </c>
      <c r="D897" s="253" t="s">
        <v>442</v>
      </c>
      <c r="E897" s="254">
        <v>30000</v>
      </c>
      <c r="F897" s="254">
        <v>53.481419342674847</v>
      </c>
      <c r="G897" s="264">
        <v>579.64599999999996</v>
      </c>
      <c r="H897" s="256" t="s">
        <v>322</v>
      </c>
      <c r="I897" s="256" t="s">
        <v>1673</v>
      </c>
      <c r="J897" s="256" t="s">
        <v>97</v>
      </c>
      <c r="K897" s="272" t="s">
        <v>201</v>
      </c>
      <c r="L897" s="256" t="s">
        <v>154</v>
      </c>
      <c r="M897" s="252"/>
      <c r="N897" s="252"/>
      <c r="O897" s="252"/>
    </row>
    <row r="898" spans="1:15" hidden="1">
      <c r="A898" s="251">
        <v>45798</v>
      </c>
      <c r="B898" s="252" t="s">
        <v>3675</v>
      </c>
      <c r="C898" s="252" t="s">
        <v>173</v>
      </c>
      <c r="D898" s="253" t="s">
        <v>442</v>
      </c>
      <c r="E898" s="254">
        <v>7000</v>
      </c>
      <c r="F898" s="254">
        <v>12.47899784662413</v>
      </c>
      <c r="G898" s="264">
        <v>579.64599999999996</v>
      </c>
      <c r="H898" s="256" t="s">
        <v>322</v>
      </c>
      <c r="I898" s="256" t="s">
        <v>1674</v>
      </c>
      <c r="J898" s="256" t="s">
        <v>97</v>
      </c>
      <c r="K898" s="272" t="s">
        <v>201</v>
      </c>
      <c r="L898" s="256" t="s">
        <v>154</v>
      </c>
      <c r="M898" s="252"/>
      <c r="N898" s="252"/>
      <c r="O898" s="252"/>
    </row>
    <row r="899" spans="1:15" hidden="1">
      <c r="A899" s="251">
        <v>45798</v>
      </c>
      <c r="B899" s="252" t="s">
        <v>1759</v>
      </c>
      <c r="C899" s="258" t="s">
        <v>176</v>
      </c>
      <c r="D899" s="253" t="s">
        <v>116</v>
      </c>
      <c r="E899" s="254">
        <v>20000</v>
      </c>
      <c r="F899" s="254">
        <v>35.654279561783227</v>
      </c>
      <c r="G899" s="264">
        <v>579.64599999999996</v>
      </c>
      <c r="H899" s="256" t="s">
        <v>189</v>
      </c>
      <c r="I899" s="256" t="s">
        <v>1760</v>
      </c>
      <c r="J899" s="256" t="s">
        <v>97</v>
      </c>
      <c r="K899" s="272" t="s">
        <v>201</v>
      </c>
      <c r="L899" s="256" t="s">
        <v>154</v>
      </c>
      <c r="M899" s="252"/>
      <c r="N899" s="252"/>
      <c r="O899" s="252"/>
    </row>
    <row r="900" spans="1:15" hidden="1">
      <c r="A900" s="251">
        <v>45798</v>
      </c>
      <c r="B900" s="252" t="s">
        <v>1350</v>
      </c>
      <c r="C900" s="252" t="s">
        <v>173</v>
      </c>
      <c r="D900" s="253" t="s">
        <v>116</v>
      </c>
      <c r="E900" s="254">
        <v>4000</v>
      </c>
      <c r="F900" s="254">
        <v>7.1308559123566457</v>
      </c>
      <c r="G900" s="264">
        <v>579.64599999999996</v>
      </c>
      <c r="H900" s="256" t="s">
        <v>192</v>
      </c>
      <c r="I900" s="256" t="s">
        <v>1782</v>
      </c>
      <c r="J900" s="256" t="s">
        <v>97</v>
      </c>
      <c r="K900" s="272" t="s">
        <v>201</v>
      </c>
      <c r="L900" s="256" t="s">
        <v>154</v>
      </c>
      <c r="M900" s="252"/>
      <c r="N900" s="252"/>
      <c r="O900" s="252"/>
    </row>
    <row r="901" spans="1:15" hidden="1">
      <c r="A901" s="251">
        <v>45798</v>
      </c>
      <c r="B901" s="252" t="s">
        <v>1783</v>
      </c>
      <c r="C901" s="258" t="s">
        <v>176</v>
      </c>
      <c r="D901" s="253" t="s">
        <v>116</v>
      </c>
      <c r="E901" s="254">
        <v>20000</v>
      </c>
      <c r="F901" s="254">
        <v>35.654279561783227</v>
      </c>
      <c r="G901" s="264">
        <v>579.64599999999996</v>
      </c>
      <c r="H901" s="256" t="s">
        <v>192</v>
      </c>
      <c r="I901" s="256" t="s">
        <v>1784</v>
      </c>
      <c r="J901" s="256" t="s">
        <v>97</v>
      </c>
      <c r="K901" s="272" t="s">
        <v>201</v>
      </c>
      <c r="L901" s="256" t="s">
        <v>154</v>
      </c>
      <c r="M901" s="252"/>
      <c r="N901" s="252"/>
      <c r="O901" s="252"/>
    </row>
    <row r="902" spans="1:15" hidden="1">
      <c r="A902" s="251">
        <v>45798</v>
      </c>
      <c r="B902" s="252" t="s">
        <v>1825</v>
      </c>
      <c r="C902" s="252" t="s">
        <v>173</v>
      </c>
      <c r="D902" s="252" t="s">
        <v>119</v>
      </c>
      <c r="E902" s="254">
        <v>33000</v>
      </c>
      <c r="F902" s="254">
        <v>58.829561276942329</v>
      </c>
      <c r="G902" s="264">
        <v>579.64599999999996</v>
      </c>
      <c r="H902" s="256" t="s">
        <v>212</v>
      </c>
      <c r="I902" s="256" t="s">
        <v>1826</v>
      </c>
      <c r="J902" s="256" t="s">
        <v>97</v>
      </c>
      <c r="K902" s="272" t="s">
        <v>201</v>
      </c>
      <c r="L902" s="256" t="s">
        <v>154</v>
      </c>
      <c r="M902" s="252"/>
      <c r="N902" s="252"/>
      <c r="O902" s="252"/>
    </row>
    <row r="903" spans="1:15" hidden="1">
      <c r="A903" s="251">
        <v>45798</v>
      </c>
      <c r="B903" s="252" t="s">
        <v>1862</v>
      </c>
      <c r="C903" s="258" t="s">
        <v>176</v>
      </c>
      <c r="D903" s="253" t="s">
        <v>116</v>
      </c>
      <c r="E903" s="254">
        <v>20000</v>
      </c>
      <c r="F903" s="254">
        <v>35.654279561783227</v>
      </c>
      <c r="G903" s="264">
        <v>579.64599999999996</v>
      </c>
      <c r="H903" s="256" t="s">
        <v>186</v>
      </c>
      <c r="I903" s="256" t="s">
        <v>1863</v>
      </c>
      <c r="J903" s="256" t="s">
        <v>97</v>
      </c>
      <c r="K903" s="272" t="s">
        <v>201</v>
      </c>
      <c r="L903" s="256" t="s">
        <v>154</v>
      </c>
      <c r="M903" s="252"/>
      <c r="N903" s="252"/>
      <c r="O903" s="252"/>
    </row>
    <row r="904" spans="1:15" hidden="1">
      <c r="A904" s="251">
        <v>45799</v>
      </c>
      <c r="B904" s="252" t="s">
        <v>3871</v>
      </c>
      <c r="C904" s="258" t="s">
        <v>176</v>
      </c>
      <c r="D904" s="253" t="s">
        <v>442</v>
      </c>
      <c r="E904" s="254">
        <v>30000</v>
      </c>
      <c r="F904" s="254">
        <v>53.481419342674847</v>
      </c>
      <c r="G904" s="264">
        <v>579.64599999999996</v>
      </c>
      <c r="H904" s="256" t="s">
        <v>174</v>
      </c>
      <c r="I904" s="256" t="s">
        <v>1649</v>
      </c>
      <c r="J904" s="256" t="s">
        <v>97</v>
      </c>
      <c r="K904" s="272" t="s">
        <v>201</v>
      </c>
      <c r="L904" s="256" t="s">
        <v>154</v>
      </c>
      <c r="M904" s="252"/>
      <c r="N904" s="252"/>
      <c r="O904" s="252"/>
    </row>
    <row r="905" spans="1:15" hidden="1">
      <c r="A905" s="251">
        <v>45799</v>
      </c>
      <c r="B905" s="252" t="s">
        <v>1546</v>
      </c>
      <c r="C905" s="252" t="s">
        <v>303</v>
      </c>
      <c r="D905" s="252" t="s">
        <v>117</v>
      </c>
      <c r="E905" s="254">
        <v>10000</v>
      </c>
      <c r="F905" s="254">
        <v>17.827139780891613</v>
      </c>
      <c r="G905" s="264">
        <v>579.64599999999996</v>
      </c>
      <c r="H905" s="256" t="s">
        <v>583</v>
      </c>
      <c r="I905" s="256" t="s">
        <v>1730</v>
      </c>
      <c r="J905" s="256" t="s">
        <v>97</v>
      </c>
      <c r="K905" s="272" t="s">
        <v>201</v>
      </c>
      <c r="L905" s="256" t="s">
        <v>154</v>
      </c>
      <c r="M905" s="252"/>
      <c r="N905" s="252"/>
      <c r="O905" s="252"/>
    </row>
    <row r="906" spans="1:15" hidden="1">
      <c r="A906" s="251">
        <v>45799</v>
      </c>
      <c r="B906" s="252" t="s">
        <v>3888</v>
      </c>
      <c r="C906" s="252" t="s">
        <v>173</v>
      </c>
      <c r="D906" s="253" t="s">
        <v>442</v>
      </c>
      <c r="E906" s="254">
        <v>10000</v>
      </c>
      <c r="F906" s="254">
        <v>17.827139780891613</v>
      </c>
      <c r="G906" s="264">
        <v>579.64599999999996</v>
      </c>
      <c r="H906" s="256" t="s">
        <v>174</v>
      </c>
      <c r="I906" s="256" t="s">
        <v>1650</v>
      </c>
      <c r="J906" s="256" t="s">
        <v>97</v>
      </c>
      <c r="K906" s="272" t="s">
        <v>201</v>
      </c>
      <c r="L906" s="256" t="s">
        <v>154</v>
      </c>
      <c r="M906" s="252"/>
      <c r="N906" s="252"/>
      <c r="O906" s="252"/>
    </row>
    <row r="907" spans="1:15" hidden="1">
      <c r="A907" s="251">
        <v>45799</v>
      </c>
      <c r="B907" s="252" t="s">
        <v>3702</v>
      </c>
      <c r="C907" s="258" t="s">
        <v>176</v>
      </c>
      <c r="D907" s="253" t="s">
        <v>442</v>
      </c>
      <c r="E907" s="254">
        <v>15000</v>
      </c>
      <c r="F907" s="254">
        <v>26.740709671337424</v>
      </c>
      <c r="G907" s="264">
        <v>579.64599999999996</v>
      </c>
      <c r="H907" s="256" t="s">
        <v>316</v>
      </c>
      <c r="I907" s="256" t="s">
        <v>1590</v>
      </c>
      <c r="J907" s="256" t="s">
        <v>97</v>
      </c>
      <c r="K907" s="272" t="s">
        <v>201</v>
      </c>
      <c r="L907" s="256" t="s">
        <v>154</v>
      </c>
      <c r="M907" s="252"/>
      <c r="N907" s="252"/>
      <c r="O907" s="252"/>
    </row>
    <row r="908" spans="1:15" hidden="1">
      <c r="A908" s="251">
        <v>45799</v>
      </c>
      <c r="B908" s="252" t="s">
        <v>3694</v>
      </c>
      <c r="C908" s="252" t="s">
        <v>173</v>
      </c>
      <c r="D908" s="253" t="s">
        <v>442</v>
      </c>
      <c r="E908" s="254">
        <v>8000</v>
      </c>
      <c r="F908" s="254">
        <v>14.261711824713291</v>
      </c>
      <c r="G908" s="264">
        <v>579.64599999999996</v>
      </c>
      <c r="H908" s="256" t="s">
        <v>316</v>
      </c>
      <c r="I908" s="256" t="s">
        <v>1591</v>
      </c>
      <c r="J908" s="256" t="s">
        <v>97</v>
      </c>
      <c r="K908" s="272" t="s">
        <v>201</v>
      </c>
      <c r="L908" s="256" t="s">
        <v>154</v>
      </c>
      <c r="M908" s="252"/>
      <c r="N908" s="252"/>
      <c r="O908" s="252"/>
    </row>
    <row r="909" spans="1:15" hidden="1">
      <c r="A909" s="251">
        <v>45799</v>
      </c>
      <c r="B909" s="252" t="s">
        <v>3669</v>
      </c>
      <c r="C909" s="252" t="s">
        <v>173</v>
      </c>
      <c r="D909" s="253" t="s">
        <v>442</v>
      </c>
      <c r="E909" s="254">
        <v>3000</v>
      </c>
      <c r="F909" s="254">
        <v>5.3481419342674847</v>
      </c>
      <c r="G909" s="264">
        <v>579.64599999999996</v>
      </c>
      <c r="H909" s="256" t="s">
        <v>322</v>
      </c>
      <c r="I909" s="256" t="s">
        <v>1675</v>
      </c>
      <c r="J909" s="256" t="s">
        <v>97</v>
      </c>
      <c r="K909" s="272" t="s">
        <v>201</v>
      </c>
      <c r="L909" s="256" t="s">
        <v>154</v>
      </c>
      <c r="M909" s="252"/>
      <c r="N909" s="252"/>
      <c r="O909" s="252"/>
    </row>
    <row r="910" spans="1:15" hidden="1">
      <c r="A910" s="251">
        <v>45799</v>
      </c>
      <c r="B910" s="252" t="s">
        <v>3676</v>
      </c>
      <c r="C910" s="252" t="s">
        <v>173</v>
      </c>
      <c r="D910" s="253" t="s">
        <v>442</v>
      </c>
      <c r="E910" s="254">
        <v>3000</v>
      </c>
      <c r="F910" s="254">
        <v>5.3481419342674847</v>
      </c>
      <c r="G910" s="264">
        <v>579.64599999999996</v>
      </c>
      <c r="H910" s="256" t="s">
        <v>322</v>
      </c>
      <c r="I910" s="256" t="s">
        <v>1676</v>
      </c>
      <c r="J910" s="256" t="s">
        <v>97</v>
      </c>
      <c r="K910" s="272" t="s">
        <v>201</v>
      </c>
      <c r="L910" s="256" t="s">
        <v>154</v>
      </c>
      <c r="M910" s="252"/>
      <c r="N910" s="252"/>
      <c r="O910" s="252"/>
    </row>
    <row r="911" spans="1:15" hidden="1">
      <c r="A911" s="251">
        <v>45799</v>
      </c>
      <c r="B911" s="252" t="s">
        <v>3661</v>
      </c>
      <c r="C911" s="252" t="s">
        <v>173</v>
      </c>
      <c r="D911" s="253" t="s">
        <v>442</v>
      </c>
      <c r="E911" s="254">
        <v>10000</v>
      </c>
      <c r="F911" s="254">
        <v>17.827139780891613</v>
      </c>
      <c r="G911" s="264">
        <v>579.64599999999996</v>
      </c>
      <c r="H911" s="256" t="s">
        <v>322</v>
      </c>
      <c r="I911" s="256" t="s">
        <v>1677</v>
      </c>
      <c r="J911" s="256" t="s">
        <v>97</v>
      </c>
      <c r="K911" s="272" t="s">
        <v>201</v>
      </c>
      <c r="L911" s="256" t="s">
        <v>154</v>
      </c>
      <c r="M911" s="252"/>
      <c r="N911" s="252"/>
      <c r="O911" s="252"/>
    </row>
    <row r="912" spans="1:15" hidden="1">
      <c r="A912" s="251">
        <v>45799</v>
      </c>
      <c r="B912" s="252" t="s">
        <v>1763</v>
      </c>
      <c r="C912" s="252" t="s">
        <v>312</v>
      </c>
      <c r="D912" s="253" t="s">
        <v>116</v>
      </c>
      <c r="E912" s="254">
        <v>27000</v>
      </c>
      <c r="F912" s="254">
        <v>48.133277408407359</v>
      </c>
      <c r="G912" s="264">
        <v>579.64599999999996</v>
      </c>
      <c r="H912" s="256" t="s">
        <v>189</v>
      </c>
      <c r="I912" s="256" t="s">
        <v>1764</v>
      </c>
      <c r="J912" s="256" t="s">
        <v>97</v>
      </c>
      <c r="K912" s="272" t="s">
        <v>201</v>
      </c>
      <c r="L912" s="256" t="s">
        <v>154</v>
      </c>
      <c r="M912" s="252"/>
      <c r="N912" s="252"/>
      <c r="O912" s="252"/>
    </row>
    <row r="913" spans="1:15" hidden="1">
      <c r="A913" s="251">
        <v>45799</v>
      </c>
      <c r="B913" s="252" t="s">
        <v>1785</v>
      </c>
      <c r="C913" s="252" t="s">
        <v>312</v>
      </c>
      <c r="D913" s="253" t="s">
        <v>116</v>
      </c>
      <c r="E913" s="254">
        <v>9000</v>
      </c>
      <c r="F913" s="254">
        <v>16.044425802802454</v>
      </c>
      <c r="G913" s="264">
        <v>579.64599999999996</v>
      </c>
      <c r="H913" s="256" t="s">
        <v>192</v>
      </c>
      <c r="I913" s="256" t="s">
        <v>1786</v>
      </c>
      <c r="J913" s="256" t="s">
        <v>97</v>
      </c>
      <c r="K913" s="272" t="s">
        <v>201</v>
      </c>
      <c r="L913" s="256" t="s">
        <v>154</v>
      </c>
      <c r="M913" s="252"/>
      <c r="N913" s="252"/>
      <c r="O913" s="252"/>
    </row>
    <row r="914" spans="1:15" hidden="1">
      <c r="A914" s="251">
        <v>45799</v>
      </c>
      <c r="B914" s="252" t="s">
        <v>1827</v>
      </c>
      <c r="C914" s="258" t="s">
        <v>176</v>
      </c>
      <c r="D914" s="252" t="s">
        <v>119</v>
      </c>
      <c r="E914" s="254">
        <v>130000</v>
      </c>
      <c r="F914" s="254">
        <v>231.75281715159099</v>
      </c>
      <c r="G914" s="264">
        <v>579.64599999999996</v>
      </c>
      <c r="H914" s="256" t="s">
        <v>212</v>
      </c>
      <c r="I914" s="256" t="s">
        <v>1828</v>
      </c>
      <c r="J914" s="256" t="s">
        <v>97</v>
      </c>
      <c r="K914" s="272" t="s">
        <v>201</v>
      </c>
      <c r="L914" s="256" t="s">
        <v>154</v>
      </c>
      <c r="M914" s="252"/>
      <c r="N914" s="252"/>
      <c r="O914" s="252"/>
    </row>
    <row r="915" spans="1:15" hidden="1">
      <c r="A915" s="251">
        <v>45799</v>
      </c>
      <c r="B915" s="252" t="s">
        <v>1864</v>
      </c>
      <c r="C915" s="252" t="s">
        <v>173</v>
      </c>
      <c r="D915" s="253" t="s">
        <v>116</v>
      </c>
      <c r="E915" s="254">
        <v>7000</v>
      </c>
      <c r="F915" s="254">
        <v>12.47899784662413</v>
      </c>
      <c r="G915" s="264">
        <v>579.64599999999996</v>
      </c>
      <c r="H915" s="256" t="s">
        <v>186</v>
      </c>
      <c r="I915" s="256" t="s">
        <v>1865</v>
      </c>
      <c r="J915" s="256" t="s">
        <v>97</v>
      </c>
      <c r="K915" s="272" t="s">
        <v>201</v>
      </c>
      <c r="L915" s="256" t="s">
        <v>154</v>
      </c>
      <c r="M915" s="252"/>
      <c r="N915" s="252"/>
      <c r="O915" s="252"/>
    </row>
    <row r="916" spans="1:15" hidden="1">
      <c r="A916" s="251">
        <v>45799</v>
      </c>
      <c r="B916" s="252" t="s">
        <v>1866</v>
      </c>
      <c r="C916" s="252" t="s">
        <v>312</v>
      </c>
      <c r="D916" s="253" t="s">
        <v>116</v>
      </c>
      <c r="E916" s="254">
        <v>43500</v>
      </c>
      <c r="F916" s="254">
        <v>77.548058046878523</v>
      </c>
      <c r="G916" s="264">
        <v>579.64599999999996</v>
      </c>
      <c r="H916" s="256" t="s">
        <v>186</v>
      </c>
      <c r="I916" s="256" t="s">
        <v>1867</v>
      </c>
      <c r="J916" s="256" t="s">
        <v>97</v>
      </c>
      <c r="K916" s="272" t="s">
        <v>201</v>
      </c>
      <c r="L916" s="256" t="s">
        <v>154</v>
      </c>
      <c r="M916" s="252"/>
      <c r="N916" s="252"/>
      <c r="O916" s="252"/>
    </row>
    <row r="917" spans="1:15" hidden="1">
      <c r="A917" s="251">
        <v>45800</v>
      </c>
      <c r="B917" s="252" t="s">
        <v>1761</v>
      </c>
      <c r="C917" s="252" t="s">
        <v>173</v>
      </c>
      <c r="D917" s="253" t="s">
        <v>116</v>
      </c>
      <c r="E917" s="254">
        <v>10000</v>
      </c>
      <c r="F917" s="254">
        <v>17.827139780891613</v>
      </c>
      <c r="G917" s="264">
        <v>579.64599999999996</v>
      </c>
      <c r="H917" s="256" t="s">
        <v>189</v>
      </c>
      <c r="I917" s="256" t="s">
        <v>1762</v>
      </c>
      <c r="J917" s="256" t="s">
        <v>97</v>
      </c>
      <c r="K917" s="272" t="s">
        <v>201</v>
      </c>
      <c r="L917" s="256" t="s">
        <v>154</v>
      </c>
      <c r="M917" s="252"/>
      <c r="N917" s="252"/>
      <c r="O917" s="252"/>
    </row>
    <row r="918" spans="1:15" hidden="1">
      <c r="A918" s="251">
        <v>45800</v>
      </c>
      <c r="B918" s="252" t="s">
        <v>1541</v>
      </c>
      <c r="C918" s="259" t="s">
        <v>2087</v>
      </c>
      <c r="D918" s="252" t="s">
        <v>117</v>
      </c>
      <c r="E918" s="254">
        <v>42960</v>
      </c>
      <c r="F918" s="254">
        <v>76.585392498710377</v>
      </c>
      <c r="G918" s="264">
        <v>579.64599999999996</v>
      </c>
      <c r="H918" s="256" t="s">
        <v>583</v>
      </c>
      <c r="I918" s="256" t="s">
        <v>1731</v>
      </c>
      <c r="J918" s="256" t="s">
        <v>97</v>
      </c>
      <c r="K918" s="272" t="s">
        <v>201</v>
      </c>
      <c r="L918" s="256" t="s">
        <v>154</v>
      </c>
      <c r="M918" s="252"/>
      <c r="N918" s="252"/>
      <c r="O918" s="252"/>
    </row>
    <row r="919" spans="1:15" hidden="1">
      <c r="A919" s="251">
        <v>45800</v>
      </c>
      <c r="B919" s="252" t="s">
        <v>1547</v>
      </c>
      <c r="C919" s="259" t="s">
        <v>2087</v>
      </c>
      <c r="D919" s="252" t="s">
        <v>117</v>
      </c>
      <c r="E919" s="254">
        <v>4750</v>
      </c>
      <c r="F919" s="254">
        <v>8.4678913959235178</v>
      </c>
      <c r="G919" s="264">
        <v>579.64599999999996</v>
      </c>
      <c r="H919" s="256" t="s">
        <v>583</v>
      </c>
      <c r="I919" s="256" t="s">
        <v>1732</v>
      </c>
      <c r="J919" s="256" t="s">
        <v>97</v>
      </c>
      <c r="K919" s="272" t="s">
        <v>201</v>
      </c>
      <c r="L919" s="256" t="s">
        <v>154</v>
      </c>
      <c r="M919" s="252"/>
      <c r="N919" s="252"/>
      <c r="O919" s="252"/>
    </row>
    <row r="920" spans="1:15" hidden="1">
      <c r="A920" s="251">
        <v>45800</v>
      </c>
      <c r="B920" s="252" t="s">
        <v>3759</v>
      </c>
      <c r="C920" s="252" t="s">
        <v>173</v>
      </c>
      <c r="D920" s="253" t="s">
        <v>442</v>
      </c>
      <c r="E920" s="254">
        <v>10000</v>
      </c>
      <c r="F920" s="254">
        <v>17.827139780891613</v>
      </c>
      <c r="G920" s="264">
        <v>579.64599999999996</v>
      </c>
      <c r="H920" s="256" t="s">
        <v>183</v>
      </c>
      <c r="I920" s="257" t="s">
        <v>1617</v>
      </c>
      <c r="J920" s="256" t="s">
        <v>97</v>
      </c>
      <c r="K920" s="272" t="s">
        <v>201</v>
      </c>
      <c r="L920" s="256" t="s">
        <v>154</v>
      </c>
      <c r="M920" s="252"/>
      <c r="N920" s="252"/>
      <c r="O920" s="252"/>
    </row>
    <row r="921" spans="1:15" hidden="1">
      <c r="A921" s="251">
        <v>45800</v>
      </c>
      <c r="B921" s="252" t="s">
        <v>3759</v>
      </c>
      <c r="C921" s="252" t="s">
        <v>173</v>
      </c>
      <c r="D921" s="253" t="s">
        <v>442</v>
      </c>
      <c r="E921" s="254">
        <v>10000</v>
      </c>
      <c r="F921" s="254">
        <v>17.827139780891613</v>
      </c>
      <c r="G921" s="264">
        <v>579.64599999999996</v>
      </c>
      <c r="H921" s="256" t="s">
        <v>183</v>
      </c>
      <c r="I921" s="257" t="s">
        <v>1618</v>
      </c>
      <c r="J921" s="256" t="s">
        <v>97</v>
      </c>
      <c r="K921" s="272" t="s">
        <v>201</v>
      </c>
      <c r="L921" s="256" t="s">
        <v>154</v>
      </c>
      <c r="M921" s="252"/>
      <c r="N921" s="252"/>
      <c r="O921" s="252"/>
    </row>
    <row r="922" spans="1:15" hidden="1">
      <c r="A922" s="251">
        <v>45800</v>
      </c>
      <c r="B922" s="252" t="s">
        <v>3888</v>
      </c>
      <c r="C922" s="252" t="s">
        <v>173</v>
      </c>
      <c r="D922" s="253" t="s">
        <v>442</v>
      </c>
      <c r="E922" s="254">
        <v>10000</v>
      </c>
      <c r="F922" s="254">
        <v>17.827139780891613</v>
      </c>
      <c r="G922" s="264">
        <v>579.64599999999996</v>
      </c>
      <c r="H922" s="256" t="s">
        <v>174</v>
      </c>
      <c r="I922" s="256" t="s">
        <v>1651</v>
      </c>
      <c r="J922" s="256" t="s">
        <v>97</v>
      </c>
      <c r="K922" s="272" t="s">
        <v>201</v>
      </c>
      <c r="L922" s="256" t="s">
        <v>154</v>
      </c>
      <c r="M922" s="252"/>
      <c r="N922" s="252"/>
      <c r="O922" s="252"/>
    </row>
    <row r="923" spans="1:15" hidden="1">
      <c r="A923" s="251">
        <v>45800</v>
      </c>
      <c r="B923" s="252" t="s">
        <v>3875</v>
      </c>
      <c r="C923" s="252" t="s">
        <v>173</v>
      </c>
      <c r="D923" s="253" t="s">
        <v>442</v>
      </c>
      <c r="E923" s="254">
        <v>10000</v>
      </c>
      <c r="F923" s="254">
        <v>17.827139780891613</v>
      </c>
      <c r="G923" s="264">
        <v>579.64599999999996</v>
      </c>
      <c r="H923" s="256" t="s">
        <v>174</v>
      </c>
      <c r="I923" s="256" t="s">
        <v>1652</v>
      </c>
      <c r="J923" s="256" t="s">
        <v>97</v>
      </c>
      <c r="K923" s="272" t="s">
        <v>201</v>
      </c>
      <c r="L923" s="256" t="s">
        <v>154</v>
      </c>
      <c r="M923" s="252"/>
      <c r="N923" s="252"/>
      <c r="O923" s="252"/>
    </row>
    <row r="924" spans="1:15" hidden="1">
      <c r="A924" s="251">
        <v>45800</v>
      </c>
      <c r="B924" s="252" t="s">
        <v>3673</v>
      </c>
      <c r="C924" s="258" t="s">
        <v>176</v>
      </c>
      <c r="D924" s="253" t="s">
        <v>442</v>
      </c>
      <c r="E924" s="254">
        <v>30000</v>
      </c>
      <c r="F924" s="254">
        <v>53.481419342674847</v>
      </c>
      <c r="G924" s="264">
        <v>579.64599999999996</v>
      </c>
      <c r="H924" s="256" t="s">
        <v>322</v>
      </c>
      <c r="I924" s="256" t="s">
        <v>1678</v>
      </c>
      <c r="J924" s="256" t="s">
        <v>97</v>
      </c>
      <c r="K924" s="272" t="s">
        <v>201</v>
      </c>
      <c r="L924" s="256" t="s">
        <v>154</v>
      </c>
      <c r="M924" s="252"/>
      <c r="N924" s="252"/>
      <c r="O924" s="252"/>
    </row>
    <row r="925" spans="1:15" hidden="1">
      <c r="A925" s="251">
        <v>45800</v>
      </c>
      <c r="B925" s="252" t="s">
        <v>1765</v>
      </c>
      <c r="C925" s="258" t="s">
        <v>176</v>
      </c>
      <c r="D925" s="253" t="s">
        <v>116</v>
      </c>
      <c r="E925" s="254">
        <v>30000</v>
      </c>
      <c r="F925" s="254">
        <v>53.481419342674847</v>
      </c>
      <c r="G925" s="264">
        <v>579.64599999999996</v>
      </c>
      <c r="H925" s="256" t="s">
        <v>189</v>
      </c>
      <c r="I925" s="256" t="s">
        <v>1753</v>
      </c>
      <c r="J925" s="256" t="s">
        <v>97</v>
      </c>
      <c r="K925" s="272" t="s">
        <v>201</v>
      </c>
      <c r="L925" s="256" t="s">
        <v>154</v>
      </c>
      <c r="M925" s="252"/>
      <c r="N925" s="252"/>
      <c r="O925" s="252"/>
    </row>
    <row r="926" spans="1:15" hidden="1">
      <c r="A926" s="251">
        <v>45800</v>
      </c>
      <c r="B926" s="252" t="s">
        <v>1787</v>
      </c>
      <c r="C926" s="258" t="s">
        <v>176</v>
      </c>
      <c r="D926" s="253" t="s">
        <v>116</v>
      </c>
      <c r="E926" s="254">
        <v>30000</v>
      </c>
      <c r="F926" s="254">
        <v>53.481419342674847</v>
      </c>
      <c r="G926" s="264">
        <v>579.64599999999996</v>
      </c>
      <c r="H926" s="256" t="s">
        <v>192</v>
      </c>
      <c r="I926" s="256" t="s">
        <v>1788</v>
      </c>
      <c r="J926" s="256" t="s">
        <v>97</v>
      </c>
      <c r="K926" s="272" t="s">
        <v>201</v>
      </c>
      <c r="L926" s="256" t="s">
        <v>154</v>
      </c>
      <c r="M926" s="252"/>
      <c r="N926" s="252"/>
      <c r="O926" s="252"/>
    </row>
    <row r="927" spans="1:15" hidden="1">
      <c r="A927" s="251">
        <v>45800</v>
      </c>
      <c r="B927" s="252" t="s">
        <v>1356</v>
      </c>
      <c r="C927" s="252" t="s">
        <v>173</v>
      </c>
      <c r="D927" s="253" t="s">
        <v>116</v>
      </c>
      <c r="E927" s="254">
        <v>5000</v>
      </c>
      <c r="F927" s="254">
        <v>8.9135698904458067</v>
      </c>
      <c r="G927" s="264">
        <v>579.64599999999996</v>
      </c>
      <c r="H927" s="256" t="s">
        <v>192</v>
      </c>
      <c r="I927" s="256" t="s">
        <v>1789</v>
      </c>
      <c r="J927" s="256" t="s">
        <v>97</v>
      </c>
      <c r="K927" s="272" t="s">
        <v>201</v>
      </c>
      <c r="L927" s="256" t="s">
        <v>154</v>
      </c>
      <c r="M927" s="252"/>
      <c r="N927" s="252"/>
      <c r="O927" s="252"/>
    </row>
    <row r="928" spans="1:15" hidden="1">
      <c r="A928" s="251">
        <v>45800</v>
      </c>
      <c r="B928" s="252" t="s">
        <v>1790</v>
      </c>
      <c r="C928" s="252" t="s">
        <v>173</v>
      </c>
      <c r="D928" s="253" t="s">
        <v>116</v>
      </c>
      <c r="E928" s="254">
        <v>7000</v>
      </c>
      <c r="F928" s="254">
        <v>12.47899784662413</v>
      </c>
      <c r="G928" s="264">
        <v>579.64599999999996</v>
      </c>
      <c r="H928" s="256" t="s">
        <v>192</v>
      </c>
      <c r="I928" s="256" t="s">
        <v>1791</v>
      </c>
      <c r="J928" s="256" t="s">
        <v>97</v>
      </c>
      <c r="K928" s="272" t="s">
        <v>201</v>
      </c>
      <c r="L928" s="256" t="s">
        <v>154</v>
      </c>
      <c r="M928" s="252"/>
      <c r="N928" s="252"/>
      <c r="O928" s="252"/>
    </row>
    <row r="929" spans="1:15" hidden="1">
      <c r="A929" s="251">
        <v>45800</v>
      </c>
      <c r="B929" s="252" t="s">
        <v>1829</v>
      </c>
      <c r="C929" s="258" t="s">
        <v>176</v>
      </c>
      <c r="D929" s="252" t="s">
        <v>119</v>
      </c>
      <c r="E929" s="254">
        <v>15000</v>
      </c>
      <c r="F929" s="254">
        <v>26.740709671337424</v>
      </c>
      <c r="G929" s="264">
        <v>579.64599999999996</v>
      </c>
      <c r="H929" s="256" t="s">
        <v>212</v>
      </c>
      <c r="I929" s="256" t="s">
        <v>1830</v>
      </c>
      <c r="J929" s="256" t="s">
        <v>97</v>
      </c>
      <c r="K929" s="272" t="s">
        <v>201</v>
      </c>
      <c r="L929" s="256" t="s">
        <v>154</v>
      </c>
      <c r="M929" s="252"/>
      <c r="N929" s="252"/>
      <c r="O929" s="252"/>
    </row>
    <row r="930" spans="1:15" hidden="1">
      <c r="A930" s="251">
        <v>45800</v>
      </c>
      <c r="B930" s="252" t="s">
        <v>1868</v>
      </c>
      <c r="C930" s="258" t="s">
        <v>176</v>
      </c>
      <c r="D930" s="253" t="s">
        <v>116</v>
      </c>
      <c r="E930" s="254">
        <v>30000</v>
      </c>
      <c r="F930" s="254">
        <v>53.481419342674847</v>
      </c>
      <c r="G930" s="264">
        <v>579.64599999999996</v>
      </c>
      <c r="H930" s="256" t="s">
        <v>186</v>
      </c>
      <c r="I930" s="256" t="s">
        <v>1869</v>
      </c>
      <c r="J930" s="256" t="s">
        <v>97</v>
      </c>
      <c r="K930" s="272" t="s">
        <v>201</v>
      </c>
      <c r="L930" s="256" t="s">
        <v>154</v>
      </c>
      <c r="M930" s="252"/>
      <c r="N930" s="252"/>
      <c r="O930" s="252"/>
    </row>
    <row r="931" spans="1:15" hidden="1">
      <c r="A931" s="251">
        <v>45801</v>
      </c>
      <c r="B931" s="252" t="s">
        <v>1831</v>
      </c>
      <c r="C931" s="258" t="s">
        <v>176</v>
      </c>
      <c r="D931" s="252" t="s">
        <v>119</v>
      </c>
      <c r="E931" s="254">
        <v>15000</v>
      </c>
      <c r="F931" s="254">
        <v>26.740709671337424</v>
      </c>
      <c r="G931" s="264">
        <v>579.64599999999996</v>
      </c>
      <c r="H931" s="256" t="s">
        <v>212</v>
      </c>
      <c r="I931" s="256" t="s">
        <v>1832</v>
      </c>
      <c r="J931" s="256" t="s">
        <v>97</v>
      </c>
      <c r="K931" s="272" t="s">
        <v>201</v>
      </c>
      <c r="L931" s="256" t="s">
        <v>154</v>
      </c>
      <c r="M931" s="252"/>
      <c r="N931" s="252"/>
      <c r="O931" s="252"/>
    </row>
    <row r="932" spans="1:15" hidden="1">
      <c r="A932" s="251">
        <v>45802</v>
      </c>
      <c r="B932" s="252" t="s">
        <v>1706</v>
      </c>
      <c r="C932" s="258" t="s">
        <v>176</v>
      </c>
      <c r="D932" s="252" t="s">
        <v>2088</v>
      </c>
      <c r="E932" s="254">
        <v>150000</v>
      </c>
      <c r="F932" s="254">
        <v>267.40709671337424</v>
      </c>
      <c r="G932" s="264">
        <v>579.64599999999996</v>
      </c>
      <c r="H932" s="256" t="s">
        <v>199</v>
      </c>
      <c r="I932" s="257" t="s">
        <v>1707</v>
      </c>
      <c r="J932" s="256" t="s">
        <v>97</v>
      </c>
      <c r="K932" s="272" t="s">
        <v>201</v>
      </c>
      <c r="L932" s="256" t="s">
        <v>154</v>
      </c>
      <c r="M932" s="252"/>
      <c r="N932" s="252"/>
      <c r="O932" s="252"/>
    </row>
    <row r="933" spans="1:15" hidden="1">
      <c r="A933" s="251">
        <v>45803</v>
      </c>
      <c r="B933" s="252" t="s">
        <v>1517</v>
      </c>
      <c r="C933" s="252" t="s">
        <v>126</v>
      </c>
      <c r="D933" s="252" t="s">
        <v>118</v>
      </c>
      <c r="E933" s="254">
        <v>1311000</v>
      </c>
      <c r="F933" s="254">
        <v>2337.1380252748909</v>
      </c>
      <c r="G933" s="255">
        <v>560.94248000000005</v>
      </c>
      <c r="H933" s="256" t="s">
        <v>147</v>
      </c>
      <c r="I933" s="256" t="s">
        <v>1880</v>
      </c>
      <c r="J933" s="256" t="s">
        <v>97</v>
      </c>
      <c r="K933" s="269" t="s">
        <v>1903</v>
      </c>
      <c r="L933" s="274" t="s">
        <v>154</v>
      </c>
      <c r="M933" s="252"/>
      <c r="N933" s="252"/>
      <c r="O933" s="252"/>
    </row>
    <row r="934" spans="1:15" hidden="1">
      <c r="A934" s="251">
        <v>45803</v>
      </c>
      <c r="B934" s="252" t="s">
        <v>1518</v>
      </c>
      <c r="C934" s="252" t="s">
        <v>126</v>
      </c>
      <c r="D934" s="252" t="s">
        <v>117</v>
      </c>
      <c r="E934" s="254">
        <v>230000</v>
      </c>
      <c r="F934" s="254">
        <v>410.02421496050715</v>
      </c>
      <c r="G934" s="255">
        <v>560.94248000000005</v>
      </c>
      <c r="H934" s="256" t="s">
        <v>147</v>
      </c>
      <c r="I934" s="256" t="s">
        <v>1881</v>
      </c>
      <c r="J934" s="256" t="s">
        <v>97</v>
      </c>
      <c r="K934" s="269" t="s">
        <v>1903</v>
      </c>
      <c r="L934" s="274" t="s">
        <v>154</v>
      </c>
      <c r="M934" s="252"/>
      <c r="N934" s="252"/>
      <c r="O934" s="252"/>
    </row>
    <row r="935" spans="1:15" hidden="1">
      <c r="A935" s="251">
        <v>45803</v>
      </c>
      <c r="B935" s="252" t="s">
        <v>1519</v>
      </c>
      <c r="C935" s="252" t="s">
        <v>126</v>
      </c>
      <c r="D935" s="253" t="s">
        <v>116</v>
      </c>
      <c r="E935" s="254">
        <v>200000</v>
      </c>
      <c r="F935" s="254">
        <v>356.54279561783233</v>
      </c>
      <c r="G935" s="255">
        <v>560.94248000000005</v>
      </c>
      <c r="H935" s="256" t="s">
        <v>147</v>
      </c>
      <c r="I935" s="256" t="s">
        <v>1882</v>
      </c>
      <c r="J935" s="256" t="s">
        <v>97</v>
      </c>
      <c r="K935" s="269" t="s">
        <v>1903</v>
      </c>
      <c r="L935" s="274" t="s">
        <v>154</v>
      </c>
      <c r="M935" s="252"/>
      <c r="N935" s="252"/>
      <c r="O935" s="252"/>
    </row>
    <row r="936" spans="1:15" hidden="1">
      <c r="A936" s="251">
        <v>45803</v>
      </c>
      <c r="B936" s="252" t="s">
        <v>1520</v>
      </c>
      <c r="C936" s="252" t="s">
        <v>126</v>
      </c>
      <c r="D936" s="253" t="s">
        <v>116</v>
      </c>
      <c r="E936" s="254">
        <v>200000</v>
      </c>
      <c r="F936" s="254">
        <v>356.54279561783233</v>
      </c>
      <c r="G936" s="255">
        <v>560.94248000000005</v>
      </c>
      <c r="H936" s="256" t="s">
        <v>147</v>
      </c>
      <c r="I936" s="256" t="s">
        <v>1883</v>
      </c>
      <c r="J936" s="256" t="s">
        <v>97</v>
      </c>
      <c r="K936" s="269" t="s">
        <v>1903</v>
      </c>
      <c r="L936" s="274" t="s">
        <v>154</v>
      </c>
      <c r="M936" s="252"/>
      <c r="N936" s="252"/>
      <c r="O936" s="252"/>
    </row>
    <row r="937" spans="1:15" hidden="1">
      <c r="A937" s="251">
        <v>45803</v>
      </c>
      <c r="B937" s="252" t="s">
        <v>1521</v>
      </c>
      <c r="C937" s="252" t="s">
        <v>126</v>
      </c>
      <c r="D937" s="253" t="s">
        <v>116</v>
      </c>
      <c r="E937" s="254">
        <v>200000</v>
      </c>
      <c r="F937" s="254">
        <v>356.54279561783233</v>
      </c>
      <c r="G937" s="255">
        <v>560.94248000000005</v>
      </c>
      <c r="H937" s="256" t="s">
        <v>147</v>
      </c>
      <c r="I937" s="256" t="s">
        <v>1884</v>
      </c>
      <c r="J937" s="256" t="s">
        <v>97</v>
      </c>
      <c r="K937" s="269" t="s">
        <v>1903</v>
      </c>
      <c r="L937" s="274" t="s">
        <v>154</v>
      </c>
      <c r="M937" s="252"/>
      <c r="N937" s="252"/>
      <c r="O937" s="252"/>
    </row>
    <row r="938" spans="1:15" hidden="1">
      <c r="A938" s="251">
        <v>45803</v>
      </c>
      <c r="B938" s="252" t="s">
        <v>1522</v>
      </c>
      <c r="C938" s="252" t="s">
        <v>126</v>
      </c>
      <c r="D938" s="253" t="s">
        <v>116</v>
      </c>
      <c r="E938" s="254">
        <v>551482</v>
      </c>
      <c r="F938" s="254">
        <v>983.13467006456699</v>
      </c>
      <c r="G938" s="255">
        <v>560.94248000000005</v>
      </c>
      <c r="H938" s="256" t="s">
        <v>147</v>
      </c>
      <c r="I938" s="256" t="s">
        <v>1885</v>
      </c>
      <c r="J938" s="256" t="s">
        <v>97</v>
      </c>
      <c r="K938" s="269" t="s">
        <v>1903</v>
      </c>
      <c r="L938" s="274" t="s">
        <v>154</v>
      </c>
      <c r="M938" s="252"/>
      <c r="N938" s="252"/>
      <c r="O938" s="252"/>
    </row>
    <row r="939" spans="1:15" hidden="1">
      <c r="A939" s="251">
        <v>45803</v>
      </c>
      <c r="B939" s="252" t="s">
        <v>1523</v>
      </c>
      <c r="C939" s="252" t="s">
        <v>126</v>
      </c>
      <c r="D939" s="252" t="s">
        <v>119</v>
      </c>
      <c r="E939" s="254">
        <v>89773</v>
      </c>
      <c r="F939" s="254">
        <v>160.03958195499828</v>
      </c>
      <c r="G939" s="255">
        <v>560.94248000000005</v>
      </c>
      <c r="H939" s="256" t="s">
        <v>147</v>
      </c>
      <c r="I939" s="256" t="s">
        <v>1886</v>
      </c>
      <c r="J939" s="256" t="s">
        <v>97</v>
      </c>
      <c r="K939" s="269" t="s">
        <v>1903</v>
      </c>
      <c r="L939" s="274" t="s">
        <v>154</v>
      </c>
      <c r="M939" s="252"/>
      <c r="N939" s="252"/>
      <c r="O939" s="252"/>
    </row>
    <row r="940" spans="1:15" hidden="1">
      <c r="A940" s="251">
        <v>45803</v>
      </c>
      <c r="B940" s="252" t="s">
        <v>1524</v>
      </c>
      <c r="C940" s="252" t="s">
        <v>126</v>
      </c>
      <c r="D940" s="253" t="s">
        <v>116</v>
      </c>
      <c r="E940" s="254">
        <v>300000</v>
      </c>
      <c r="F940" s="254">
        <v>534.81419342674849</v>
      </c>
      <c r="G940" s="255">
        <v>560.94248000000005</v>
      </c>
      <c r="H940" s="256" t="s">
        <v>147</v>
      </c>
      <c r="I940" s="256" t="s">
        <v>1887</v>
      </c>
      <c r="J940" s="256" t="s">
        <v>97</v>
      </c>
      <c r="K940" s="269" t="s">
        <v>1903</v>
      </c>
      <c r="L940" s="274" t="s">
        <v>154</v>
      </c>
      <c r="M940" s="252"/>
      <c r="N940" s="252"/>
      <c r="O940" s="252"/>
    </row>
    <row r="941" spans="1:15" hidden="1">
      <c r="A941" s="251">
        <v>45803</v>
      </c>
      <c r="B941" s="252" t="s">
        <v>1549</v>
      </c>
      <c r="C941" s="258" t="s">
        <v>1164</v>
      </c>
      <c r="D941" s="252" t="s">
        <v>117</v>
      </c>
      <c r="E941" s="254">
        <v>300000</v>
      </c>
      <c r="F941" s="254">
        <v>534.81419342674849</v>
      </c>
      <c r="G941" s="264">
        <v>579.64599999999996</v>
      </c>
      <c r="H941" s="256" t="s">
        <v>583</v>
      </c>
      <c r="I941" s="256" t="s">
        <v>1733</v>
      </c>
      <c r="J941" s="256" t="s">
        <v>97</v>
      </c>
      <c r="K941" s="272" t="s">
        <v>201</v>
      </c>
      <c r="L941" s="256" t="s">
        <v>154</v>
      </c>
      <c r="M941" s="252"/>
      <c r="N941" s="252"/>
      <c r="O941" s="252"/>
    </row>
    <row r="942" spans="1:15" hidden="1">
      <c r="A942" s="251">
        <v>45803</v>
      </c>
      <c r="B942" s="252" t="s">
        <v>3770</v>
      </c>
      <c r="C942" s="258" t="s">
        <v>176</v>
      </c>
      <c r="D942" s="253" t="s">
        <v>442</v>
      </c>
      <c r="E942" s="254">
        <v>150000</v>
      </c>
      <c r="F942" s="254">
        <v>267.40709671337424</v>
      </c>
      <c r="G942" s="264">
        <v>579.64599999999996</v>
      </c>
      <c r="H942" s="256" t="s">
        <v>183</v>
      </c>
      <c r="I942" s="257" t="s">
        <v>1619</v>
      </c>
      <c r="J942" s="256" t="s">
        <v>97</v>
      </c>
      <c r="K942" s="272" t="s">
        <v>201</v>
      </c>
      <c r="L942" s="256" t="s">
        <v>154</v>
      </c>
      <c r="M942" s="252"/>
      <c r="N942" s="252"/>
      <c r="O942" s="252"/>
    </row>
    <row r="943" spans="1:15" hidden="1">
      <c r="A943" s="251">
        <v>45803</v>
      </c>
      <c r="B943" s="252" t="s">
        <v>1620</v>
      </c>
      <c r="C943" s="252" t="s">
        <v>173</v>
      </c>
      <c r="D943" s="253" t="s">
        <v>442</v>
      </c>
      <c r="E943" s="254">
        <v>94900</v>
      </c>
      <c r="F943" s="254">
        <v>169.17955652066144</v>
      </c>
      <c r="G943" s="264">
        <v>579.64599999999996</v>
      </c>
      <c r="H943" s="256" t="s">
        <v>183</v>
      </c>
      <c r="I943" s="257" t="s">
        <v>1621</v>
      </c>
      <c r="J943" s="256" t="s">
        <v>97</v>
      </c>
      <c r="K943" s="272" t="s">
        <v>201</v>
      </c>
      <c r="L943" s="256" t="s">
        <v>154</v>
      </c>
      <c r="M943" s="252"/>
      <c r="N943" s="252"/>
      <c r="O943" s="252"/>
    </row>
    <row r="944" spans="1:15" hidden="1">
      <c r="A944" s="251">
        <v>45803</v>
      </c>
      <c r="B944" s="252" t="s">
        <v>3702</v>
      </c>
      <c r="C944" s="258" t="s">
        <v>176</v>
      </c>
      <c r="D944" s="253" t="s">
        <v>442</v>
      </c>
      <c r="E944" s="254">
        <v>60000</v>
      </c>
      <c r="F944" s="254">
        <v>106.96283868534969</v>
      </c>
      <c r="G944" s="264">
        <v>579.64599999999996</v>
      </c>
      <c r="H944" s="256" t="s">
        <v>316</v>
      </c>
      <c r="I944" s="256" t="s">
        <v>1592</v>
      </c>
      <c r="J944" s="256" t="s">
        <v>97</v>
      </c>
      <c r="K944" s="272" t="s">
        <v>201</v>
      </c>
      <c r="L944" s="256" t="s">
        <v>154</v>
      </c>
      <c r="M944" s="252"/>
      <c r="N944" s="252"/>
      <c r="O944" s="252"/>
    </row>
    <row r="945" spans="1:15" hidden="1">
      <c r="A945" s="251">
        <v>45803</v>
      </c>
      <c r="B945" s="252" t="s">
        <v>3694</v>
      </c>
      <c r="C945" s="252" t="s">
        <v>173</v>
      </c>
      <c r="D945" s="253" t="s">
        <v>442</v>
      </c>
      <c r="E945" s="254">
        <v>5000</v>
      </c>
      <c r="F945" s="254">
        <v>8.9135698904458067</v>
      </c>
      <c r="G945" s="264">
        <v>579.64599999999996</v>
      </c>
      <c r="H945" s="256" t="s">
        <v>316</v>
      </c>
      <c r="I945" s="256" t="s">
        <v>1593</v>
      </c>
      <c r="J945" s="256" t="s">
        <v>97</v>
      </c>
      <c r="K945" s="272" t="s">
        <v>201</v>
      </c>
      <c r="L945" s="256" t="s">
        <v>154</v>
      </c>
      <c r="M945" s="252"/>
      <c r="N945" s="252"/>
      <c r="O945" s="252"/>
    </row>
    <row r="946" spans="1:15" hidden="1">
      <c r="A946" s="251">
        <v>45803</v>
      </c>
      <c r="B946" s="252" t="s">
        <v>1594</v>
      </c>
      <c r="C946" s="252" t="s">
        <v>365</v>
      </c>
      <c r="D946" s="253" t="s">
        <v>442</v>
      </c>
      <c r="E946" s="254">
        <v>12000</v>
      </c>
      <c r="F946" s="254">
        <v>21.392567737069939</v>
      </c>
      <c r="G946" s="264">
        <v>579.64599999999996</v>
      </c>
      <c r="H946" s="256" t="s">
        <v>316</v>
      </c>
      <c r="I946" s="256" t="s">
        <v>1595</v>
      </c>
      <c r="J946" s="256" t="s">
        <v>97</v>
      </c>
      <c r="K946" s="272" t="s">
        <v>201</v>
      </c>
      <c r="L946" s="256" t="s">
        <v>154</v>
      </c>
      <c r="M946" s="252"/>
      <c r="N946" s="252"/>
      <c r="O946" s="252"/>
    </row>
    <row r="947" spans="1:15" hidden="1">
      <c r="A947" s="251">
        <v>45803</v>
      </c>
      <c r="B947" s="252" t="s">
        <v>1548</v>
      </c>
      <c r="C947" s="259" t="s">
        <v>2087</v>
      </c>
      <c r="D947" s="252" t="s">
        <v>117</v>
      </c>
      <c r="E947" s="254">
        <v>3800</v>
      </c>
      <c r="F947" s="254">
        <v>6.7743131167388135</v>
      </c>
      <c r="G947" s="264">
        <v>579.64599999999996</v>
      </c>
      <c r="H947" s="256" t="s">
        <v>189</v>
      </c>
      <c r="I947" s="256" t="s">
        <v>1750</v>
      </c>
      <c r="J947" s="256" t="s">
        <v>97</v>
      </c>
      <c r="K947" s="272" t="s">
        <v>201</v>
      </c>
      <c r="L947" s="256" t="s">
        <v>154</v>
      </c>
      <c r="M947" s="252"/>
      <c r="N947" s="252"/>
      <c r="O947" s="252"/>
    </row>
    <row r="948" spans="1:15" hidden="1">
      <c r="A948" s="251">
        <v>45803</v>
      </c>
      <c r="B948" s="252" t="s">
        <v>1810</v>
      </c>
      <c r="C948" s="252" t="s">
        <v>1811</v>
      </c>
      <c r="D948" s="253" t="s">
        <v>116</v>
      </c>
      <c r="E948" s="254">
        <v>1400</v>
      </c>
      <c r="F948" s="254">
        <v>2.4957995693248263</v>
      </c>
      <c r="G948" s="264">
        <v>579.64599999999996</v>
      </c>
      <c r="H948" s="256" t="s">
        <v>196</v>
      </c>
      <c r="I948" s="256" t="s">
        <v>1812</v>
      </c>
      <c r="J948" s="256" t="s">
        <v>97</v>
      </c>
      <c r="K948" s="272" t="s">
        <v>201</v>
      </c>
      <c r="L948" s="256" t="s">
        <v>154</v>
      </c>
      <c r="M948" s="252"/>
      <c r="N948" s="252"/>
      <c r="O948" s="252"/>
    </row>
    <row r="949" spans="1:15" hidden="1">
      <c r="A949" s="251">
        <v>45803</v>
      </c>
      <c r="B949" s="252" t="s">
        <v>1550</v>
      </c>
      <c r="C949" s="258" t="s">
        <v>1164</v>
      </c>
      <c r="D949" s="252" t="s">
        <v>117</v>
      </c>
      <c r="E949" s="254">
        <v>20000</v>
      </c>
      <c r="F949" s="254">
        <v>35.654279561783227</v>
      </c>
      <c r="G949" s="264">
        <v>579.64599999999996</v>
      </c>
      <c r="H949" s="256" t="s">
        <v>186</v>
      </c>
      <c r="I949" s="256" t="s">
        <v>1772</v>
      </c>
      <c r="J949" s="256" t="s">
        <v>97</v>
      </c>
      <c r="K949" s="272" t="s">
        <v>201</v>
      </c>
      <c r="L949" s="256" t="s">
        <v>154</v>
      </c>
      <c r="M949" s="252"/>
      <c r="N949" s="252"/>
      <c r="O949" s="252"/>
    </row>
    <row r="950" spans="1:15" hidden="1">
      <c r="A950" s="251">
        <v>45804</v>
      </c>
      <c r="B950" s="252" t="s">
        <v>1708</v>
      </c>
      <c r="C950" s="258" t="s">
        <v>176</v>
      </c>
      <c r="D950" s="252" t="s">
        <v>2088</v>
      </c>
      <c r="E950" s="254">
        <v>10000</v>
      </c>
      <c r="F950" s="254">
        <v>17.827139780891613</v>
      </c>
      <c r="G950" s="264">
        <v>579.64599999999996</v>
      </c>
      <c r="H950" s="256" t="s">
        <v>199</v>
      </c>
      <c r="I950" s="257" t="s">
        <v>1709</v>
      </c>
      <c r="J950" s="256" t="s">
        <v>97</v>
      </c>
      <c r="K950" s="272" t="s">
        <v>201</v>
      </c>
      <c r="L950" s="256" t="s">
        <v>154</v>
      </c>
      <c r="M950" s="252"/>
      <c r="N950" s="252"/>
      <c r="O950" s="252"/>
    </row>
    <row r="951" spans="1:15" hidden="1">
      <c r="A951" s="251">
        <v>45804</v>
      </c>
      <c r="B951" s="252" t="s">
        <v>1710</v>
      </c>
      <c r="C951" s="258" t="s">
        <v>176</v>
      </c>
      <c r="D951" s="252" t="s">
        <v>2088</v>
      </c>
      <c r="E951" s="254">
        <v>15000</v>
      </c>
      <c r="F951" s="254">
        <v>26.740709671337424</v>
      </c>
      <c r="G951" s="264">
        <v>579.64599999999996</v>
      </c>
      <c r="H951" s="256" t="s">
        <v>199</v>
      </c>
      <c r="I951" s="257" t="s">
        <v>1711</v>
      </c>
      <c r="J951" s="256" t="s">
        <v>97</v>
      </c>
      <c r="K951" s="272" t="s">
        <v>201</v>
      </c>
      <c r="L951" s="256" t="s">
        <v>154</v>
      </c>
      <c r="M951" s="252"/>
      <c r="N951" s="252"/>
      <c r="O951" s="252"/>
    </row>
    <row r="952" spans="1:15" hidden="1">
      <c r="A952" s="251">
        <v>45804</v>
      </c>
      <c r="B952" s="252" t="s">
        <v>1712</v>
      </c>
      <c r="C952" s="258" t="s">
        <v>176</v>
      </c>
      <c r="D952" s="252" t="s">
        <v>2088</v>
      </c>
      <c r="E952" s="254">
        <v>13000</v>
      </c>
      <c r="F952" s="254">
        <v>23.175281715159098</v>
      </c>
      <c r="G952" s="264">
        <v>579.64599999999996</v>
      </c>
      <c r="H952" s="256" t="s">
        <v>199</v>
      </c>
      <c r="I952" s="257" t="s">
        <v>1713</v>
      </c>
      <c r="J952" s="256" t="s">
        <v>97</v>
      </c>
      <c r="K952" s="272" t="s">
        <v>201</v>
      </c>
      <c r="L952" s="256" t="s">
        <v>154</v>
      </c>
      <c r="M952" s="252"/>
      <c r="N952" s="252"/>
      <c r="O952" s="252"/>
    </row>
    <row r="953" spans="1:15" hidden="1">
      <c r="A953" s="251">
        <v>45804</v>
      </c>
      <c r="B953" s="252" t="s">
        <v>1714</v>
      </c>
      <c r="C953" s="252" t="s">
        <v>173</v>
      </c>
      <c r="D953" s="252" t="s">
        <v>2088</v>
      </c>
      <c r="E953" s="254">
        <v>100000</v>
      </c>
      <c r="F953" s="254">
        <v>178.27139780891616</v>
      </c>
      <c r="G953" s="264">
        <v>579.64599999999996</v>
      </c>
      <c r="H953" s="256" t="s">
        <v>199</v>
      </c>
      <c r="I953" s="257" t="s">
        <v>1709</v>
      </c>
      <c r="J953" s="256" t="s">
        <v>97</v>
      </c>
      <c r="K953" s="272" t="s">
        <v>201</v>
      </c>
      <c r="L953" s="256" t="s">
        <v>154</v>
      </c>
      <c r="M953" s="252"/>
      <c r="N953" s="252"/>
      <c r="O953" s="252"/>
    </row>
    <row r="954" spans="1:15" hidden="1">
      <c r="A954" s="251">
        <v>45804</v>
      </c>
      <c r="B954" s="252" t="s">
        <v>1715</v>
      </c>
      <c r="C954" s="258" t="s">
        <v>176</v>
      </c>
      <c r="D954" s="252" t="s">
        <v>2088</v>
      </c>
      <c r="E954" s="254">
        <v>15000</v>
      </c>
      <c r="F954" s="254">
        <v>26.740709671337424</v>
      </c>
      <c r="G954" s="264">
        <v>579.64599999999996</v>
      </c>
      <c r="H954" s="256" t="s">
        <v>199</v>
      </c>
      <c r="I954" s="257" t="s">
        <v>1711</v>
      </c>
      <c r="J954" s="256" t="s">
        <v>97</v>
      </c>
      <c r="K954" s="272" t="s">
        <v>201</v>
      </c>
      <c r="L954" s="256" t="s">
        <v>154</v>
      </c>
      <c r="M954" s="252"/>
      <c r="N954" s="252"/>
      <c r="O954" s="252"/>
    </row>
    <row r="955" spans="1:15" hidden="1">
      <c r="A955" s="251">
        <v>45804</v>
      </c>
      <c r="B955" s="252" t="s">
        <v>1551</v>
      </c>
      <c r="C955" s="259" t="s">
        <v>2087</v>
      </c>
      <c r="D955" s="252" t="s">
        <v>117</v>
      </c>
      <c r="E955" s="254">
        <v>2625</v>
      </c>
      <c r="F955" s="254">
        <v>4.6796241924840487</v>
      </c>
      <c r="G955" s="264">
        <v>579.64599999999996</v>
      </c>
      <c r="H955" s="256" t="s">
        <v>583</v>
      </c>
      <c r="I955" s="256" t="s">
        <v>1734</v>
      </c>
      <c r="J955" s="256" t="s">
        <v>97</v>
      </c>
      <c r="K955" s="272" t="s">
        <v>201</v>
      </c>
      <c r="L955" s="256" t="s">
        <v>154</v>
      </c>
      <c r="M955" s="252"/>
      <c r="N955" s="252"/>
      <c r="O955" s="252"/>
    </row>
    <row r="956" spans="1:15" hidden="1">
      <c r="A956" s="251">
        <v>45804</v>
      </c>
      <c r="B956" s="252" t="s">
        <v>1552</v>
      </c>
      <c r="C956" s="252" t="s">
        <v>303</v>
      </c>
      <c r="D956" s="252" t="s">
        <v>117</v>
      </c>
      <c r="E956" s="254">
        <v>20000</v>
      </c>
      <c r="F956" s="254">
        <v>35.654279561783227</v>
      </c>
      <c r="G956" s="264">
        <v>579.64599999999996</v>
      </c>
      <c r="H956" s="256" t="s">
        <v>583</v>
      </c>
      <c r="I956" s="256" t="s">
        <v>1735</v>
      </c>
      <c r="J956" s="256" t="s">
        <v>97</v>
      </c>
      <c r="K956" s="272" t="s">
        <v>201</v>
      </c>
      <c r="L956" s="256" t="s">
        <v>154</v>
      </c>
      <c r="M956" s="252"/>
      <c r="N956" s="252"/>
      <c r="O956" s="252"/>
    </row>
    <row r="957" spans="1:15" hidden="1">
      <c r="A957" s="251">
        <v>45804</v>
      </c>
      <c r="B957" s="252" t="s">
        <v>3757</v>
      </c>
      <c r="C957" s="252" t="s">
        <v>173</v>
      </c>
      <c r="D957" s="253" t="s">
        <v>442</v>
      </c>
      <c r="E957" s="254">
        <v>315000</v>
      </c>
      <c r="F957" s="254">
        <v>561.5549030980859</v>
      </c>
      <c r="G957" s="264">
        <v>579.64599999999996</v>
      </c>
      <c r="H957" s="256" t="s">
        <v>183</v>
      </c>
      <c r="I957" s="257" t="s">
        <v>1622</v>
      </c>
      <c r="J957" s="256" t="s">
        <v>97</v>
      </c>
      <c r="K957" s="272" t="s">
        <v>201</v>
      </c>
      <c r="L957" s="256" t="s">
        <v>154</v>
      </c>
      <c r="M957" s="252"/>
      <c r="N957" s="252"/>
      <c r="O957" s="252"/>
    </row>
    <row r="958" spans="1:15" hidden="1">
      <c r="A958" s="251">
        <v>45804</v>
      </c>
      <c r="B958" s="252" t="s">
        <v>1623</v>
      </c>
      <c r="C958" s="252" t="s">
        <v>368</v>
      </c>
      <c r="D958" s="253" t="s">
        <v>442</v>
      </c>
      <c r="E958" s="254">
        <v>64100</v>
      </c>
      <c r="F958" s="254">
        <v>114.27196599551526</v>
      </c>
      <c r="G958" s="264">
        <v>579.64599999999996</v>
      </c>
      <c r="H958" s="256" t="s">
        <v>183</v>
      </c>
      <c r="I958" s="257" t="s">
        <v>1624</v>
      </c>
      <c r="J958" s="256" t="s">
        <v>97</v>
      </c>
      <c r="K958" s="272" t="s">
        <v>201</v>
      </c>
      <c r="L958" s="256" t="s">
        <v>154</v>
      </c>
      <c r="M958" s="252"/>
      <c r="N958" s="252"/>
      <c r="O958" s="252"/>
    </row>
    <row r="959" spans="1:15" hidden="1">
      <c r="A959" s="251">
        <v>45804</v>
      </c>
      <c r="B959" s="252" t="s">
        <v>3871</v>
      </c>
      <c r="C959" s="258" t="s">
        <v>176</v>
      </c>
      <c r="D959" s="253" t="s">
        <v>442</v>
      </c>
      <c r="E959" s="254">
        <v>75000</v>
      </c>
      <c r="F959" s="254">
        <v>133.70354835668712</v>
      </c>
      <c r="G959" s="264">
        <v>579.64599999999996</v>
      </c>
      <c r="H959" s="256" t="s">
        <v>174</v>
      </c>
      <c r="I959" s="256" t="s">
        <v>1653</v>
      </c>
      <c r="J959" s="256" t="s">
        <v>97</v>
      </c>
      <c r="K959" s="272" t="s">
        <v>201</v>
      </c>
      <c r="L959" s="256" t="s">
        <v>154</v>
      </c>
      <c r="M959" s="252"/>
      <c r="N959" s="252"/>
      <c r="O959" s="252"/>
    </row>
    <row r="960" spans="1:15" hidden="1">
      <c r="A960" s="251">
        <v>45804</v>
      </c>
      <c r="B960" s="252" t="s">
        <v>1679</v>
      </c>
      <c r="C960" s="252" t="s">
        <v>368</v>
      </c>
      <c r="D960" s="253" t="s">
        <v>442</v>
      </c>
      <c r="E960" s="254">
        <v>14000</v>
      </c>
      <c r="F960" s="254">
        <v>24.957995693248261</v>
      </c>
      <c r="G960" s="264">
        <v>579.64599999999996</v>
      </c>
      <c r="H960" s="256" t="s">
        <v>322</v>
      </c>
      <c r="I960" s="256" t="s">
        <v>1680</v>
      </c>
      <c r="J960" s="256" t="s">
        <v>97</v>
      </c>
      <c r="K960" s="272" t="s">
        <v>201</v>
      </c>
      <c r="L960" s="256" t="s">
        <v>154</v>
      </c>
      <c r="M960" s="252"/>
      <c r="N960" s="252"/>
      <c r="O960" s="252"/>
    </row>
    <row r="961" spans="1:15" hidden="1">
      <c r="A961" s="251">
        <v>45804</v>
      </c>
      <c r="B961" s="252" t="s">
        <v>1553</v>
      </c>
      <c r="C961" s="258" t="s">
        <v>1554</v>
      </c>
      <c r="D961" s="253" t="s">
        <v>442</v>
      </c>
      <c r="E961" s="254">
        <v>60000</v>
      </c>
      <c r="F961" s="254">
        <v>106.96283868534969</v>
      </c>
      <c r="G961" s="264">
        <v>579.64599999999996</v>
      </c>
      <c r="H961" s="256" t="s">
        <v>192</v>
      </c>
      <c r="I961" s="256" t="s">
        <v>1777</v>
      </c>
      <c r="J961" s="256" t="s">
        <v>97</v>
      </c>
      <c r="K961" s="272" t="s">
        <v>201</v>
      </c>
      <c r="L961" s="256" t="s">
        <v>154</v>
      </c>
      <c r="M961" s="252"/>
      <c r="N961" s="252"/>
      <c r="O961" s="252"/>
    </row>
    <row r="962" spans="1:15" hidden="1">
      <c r="A962" s="251">
        <v>45804</v>
      </c>
      <c r="B962" s="252" t="s">
        <v>1090</v>
      </c>
      <c r="C962" s="252" t="s">
        <v>195</v>
      </c>
      <c r="D962" s="252" t="s">
        <v>2088</v>
      </c>
      <c r="E962" s="254">
        <v>25000</v>
      </c>
      <c r="F962" s="254">
        <v>44.567849452229041</v>
      </c>
      <c r="G962" s="264">
        <v>579.64599999999996</v>
      </c>
      <c r="H962" s="256" t="s">
        <v>196</v>
      </c>
      <c r="I962" s="256" t="s">
        <v>1813</v>
      </c>
      <c r="J962" s="256" t="s">
        <v>97</v>
      </c>
      <c r="K962" s="272" t="s">
        <v>201</v>
      </c>
      <c r="L962" s="256" t="s">
        <v>154</v>
      </c>
      <c r="M962" s="252"/>
      <c r="N962" s="252"/>
      <c r="O962" s="252"/>
    </row>
    <row r="963" spans="1:15" hidden="1">
      <c r="A963" s="251">
        <v>45804</v>
      </c>
      <c r="B963" s="252" t="s">
        <v>1814</v>
      </c>
      <c r="C963" s="258" t="s">
        <v>176</v>
      </c>
      <c r="D963" s="253" t="s">
        <v>116</v>
      </c>
      <c r="E963" s="254">
        <v>25200</v>
      </c>
      <c r="F963" s="254">
        <v>44.924392247846868</v>
      </c>
      <c r="G963" s="264">
        <v>579.64599999999996</v>
      </c>
      <c r="H963" s="256" t="s">
        <v>196</v>
      </c>
      <c r="I963" s="256" t="s">
        <v>1815</v>
      </c>
      <c r="J963" s="256" t="s">
        <v>97</v>
      </c>
      <c r="K963" s="272" t="s">
        <v>201</v>
      </c>
      <c r="L963" s="256" t="s">
        <v>154</v>
      </c>
      <c r="M963" s="252"/>
      <c r="N963" s="252"/>
      <c r="O963" s="252"/>
    </row>
    <row r="964" spans="1:15" hidden="1">
      <c r="A964" s="251">
        <v>45804</v>
      </c>
      <c r="B964" s="252" t="s">
        <v>261</v>
      </c>
      <c r="C964" s="258" t="s">
        <v>176</v>
      </c>
      <c r="D964" s="252" t="s">
        <v>119</v>
      </c>
      <c r="E964" s="254">
        <v>10000</v>
      </c>
      <c r="F964" s="254">
        <v>17.827139780891613</v>
      </c>
      <c r="G964" s="264">
        <v>579.64599999999996</v>
      </c>
      <c r="H964" s="256" t="s">
        <v>212</v>
      </c>
      <c r="I964" s="256" t="s">
        <v>1833</v>
      </c>
      <c r="J964" s="256" t="s">
        <v>97</v>
      </c>
      <c r="K964" s="272" t="s">
        <v>201</v>
      </c>
      <c r="L964" s="256" t="s">
        <v>154</v>
      </c>
      <c r="M964" s="252"/>
      <c r="N964" s="252"/>
      <c r="O964" s="252"/>
    </row>
    <row r="965" spans="1:15" hidden="1">
      <c r="A965" s="251">
        <v>45805</v>
      </c>
      <c r="B965" s="252" t="s">
        <v>1530</v>
      </c>
      <c r="C965" s="252" t="s">
        <v>127</v>
      </c>
      <c r="D965" s="252" t="s">
        <v>117</v>
      </c>
      <c r="E965" s="254">
        <v>15166</v>
      </c>
      <c r="F965" s="254">
        <v>27.036640191700222</v>
      </c>
      <c r="G965" s="264">
        <v>579.64599999999996</v>
      </c>
      <c r="H965" s="256" t="s">
        <v>147</v>
      </c>
      <c r="I965" s="256" t="s">
        <v>1888</v>
      </c>
      <c r="J965" s="256" t="s">
        <v>97</v>
      </c>
      <c r="K965" s="272" t="s">
        <v>201</v>
      </c>
      <c r="L965" s="256" t="s">
        <v>154</v>
      </c>
      <c r="M965" s="252"/>
      <c r="N965" s="252"/>
      <c r="O965" s="252"/>
    </row>
    <row r="966" spans="1:15" hidden="1">
      <c r="A966" s="251">
        <v>45805</v>
      </c>
      <c r="B966" s="252" t="s">
        <v>1531</v>
      </c>
      <c r="C966" s="252" t="s">
        <v>127</v>
      </c>
      <c r="D966" s="252" t="s">
        <v>117</v>
      </c>
      <c r="E966" s="254">
        <v>19783</v>
      </c>
      <c r="F966" s="254">
        <v>35.26743062853788</v>
      </c>
      <c r="G966" s="264">
        <v>579.64599999999996</v>
      </c>
      <c r="H966" s="256" t="s">
        <v>147</v>
      </c>
      <c r="I966" s="256" t="s">
        <v>1889</v>
      </c>
      <c r="J966" s="256" t="s">
        <v>97</v>
      </c>
      <c r="K966" s="272" t="s">
        <v>201</v>
      </c>
      <c r="L966" s="256" t="s">
        <v>154</v>
      </c>
      <c r="M966" s="252"/>
      <c r="N966" s="252"/>
      <c r="O966" s="252"/>
    </row>
    <row r="967" spans="1:15" hidden="1">
      <c r="A967" s="251">
        <v>45805</v>
      </c>
      <c r="B967" s="252" t="s">
        <v>1532</v>
      </c>
      <c r="C967" s="252" t="s">
        <v>127</v>
      </c>
      <c r="D967" s="252" t="s">
        <v>117</v>
      </c>
      <c r="E967" s="254">
        <v>17268</v>
      </c>
      <c r="F967" s="254">
        <v>30.78390497364364</v>
      </c>
      <c r="G967" s="264">
        <v>579.64599999999996</v>
      </c>
      <c r="H967" s="256" t="s">
        <v>147</v>
      </c>
      <c r="I967" s="256" t="s">
        <v>1890</v>
      </c>
      <c r="J967" s="256" t="s">
        <v>97</v>
      </c>
      <c r="K967" s="272" t="s">
        <v>201</v>
      </c>
      <c r="L967" s="256" t="s">
        <v>154</v>
      </c>
      <c r="M967" s="252"/>
      <c r="N967" s="252"/>
      <c r="O967" s="252"/>
    </row>
    <row r="968" spans="1:15" hidden="1">
      <c r="A968" s="251">
        <v>45805</v>
      </c>
      <c r="B968" s="252" t="s">
        <v>1716</v>
      </c>
      <c r="C968" s="258" t="s">
        <v>176</v>
      </c>
      <c r="D968" s="253" t="s">
        <v>116</v>
      </c>
      <c r="E968" s="254">
        <v>160000</v>
      </c>
      <c r="F968" s="254">
        <v>285.23423649426582</v>
      </c>
      <c r="G968" s="264">
        <v>579.64599999999996</v>
      </c>
      <c r="H968" s="256" t="s">
        <v>199</v>
      </c>
      <c r="I968" s="257" t="s">
        <v>1717</v>
      </c>
      <c r="J968" s="256" t="s">
        <v>97</v>
      </c>
      <c r="K968" s="272" t="s">
        <v>201</v>
      </c>
      <c r="L968" s="256" t="s">
        <v>154</v>
      </c>
      <c r="M968" s="252"/>
      <c r="N968" s="252"/>
      <c r="O968" s="252"/>
    </row>
    <row r="969" spans="1:15" hidden="1">
      <c r="A969" s="251">
        <v>45805</v>
      </c>
      <c r="B969" s="252" t="s">
        <v>1718</v>
      </c>
      <c r="C969" s="258" t="s">
        <v>176</v>
      </c>
      <c r="D969" s="253" t="s">
        <v>116</v>
      </c>
      <c r="E969" s="254">
        <v>100000</v>
      </c>
      <c r="F969" s="254">
        <v>178.27139780891616</v>
      </c>
      <c r="G969" s="264">
        <v>579.64599999999996</v>
      </c>
      <c r="H969" s="256" t="s">
        <v>199</v>
      </c>
      <c r="I969" s="257" t="s">
        <v>1719</v>
      </c>
      <c r="J969" s="256" t="s">
        <v>97</v>
      </c>
      <c r="K969" s="272" t="s">
        <v>201</v>
      </c>
      <c r="L969" s="256" t="s">
        <v>154</v>
      </c>
      <c r="M969" s="252"/>
      <c r="N969" s="252"/>
      <c r="O969" s="252"/>
    </row>
    <row r="970" spans="1:15" hidden="1">
      <c r="A970" s="251">
        <v>45805</v>
      </c>
      <c r="B970" s="252" t="s">
        <v>1720</v>
      </c>
      <c r="C970" s="258" t="s">
        <v>176</v>
      </c>
      <c r="D970" s="253" t="s">
        <v>116</v>
      </c>
      <c r="E970" s="254">
        <v>20000</v>
      </c>
      <c r="F970" s="254">
        <v>35.654279561783227</v>
      </c>
      <c r="G970" s="264">
        <v>579.64599999999996</v>
      </c>
      <c r="H970" s="256" t="s">
        <v>199</v>
      </c>
      <c r="I970" s="257" t="s">
        <v>1721</v>
      </c>
      <c r="J970" s="256" t="s">
        <v>97</v>
      </c>
      <c r="K970" s="272" t="s">
        <v>201</v>
      </c>
      <c r="L970" s="256" t="s">
        <v>154</v>
      </c>
      <c r="M970" s="252"/>
      <c r="N970" s="252"/>
      <c r="O970" s="252"/>
    </row>
    <row r="971" spans="1:15" hidden="1">
      <c r="A971" s="251">
        <v>45805</v>
      </c>
      <c r="B971" s="252" t="s">
        <v>1555</v>
      </c>
      <c r="C971" s="252" t="s">
        <v>303</v>
      </c>
      <c r="D971" s="252" t="s">
        <v>117</v>
      </c>
      <c r="E971" s="254">
        <v>75625</v>
      </c>
      <c r="F971" s="254">
        <v>134.81774459299285</v>
      </c>
      <c r="G971" s="264">
        <v>579.64599999999996</v>
      </c>
      <c r="H971" s="256" t="s">
        <v>583</v>
      </c>
      <c r="I971" s="256" t="s">
        <v>1736</v>
      </c>
      <c r="J971" s="256" t="s">
        <v>97</v>
      </c>
      <c r="K971" s="272" t="s">
        <v>201</v>
      </c>
      <c r="L971" s="256" t="s">
        <v>154</v>
      </c>
      <c r="M971" s="252"/>
      <c r="N971" s="252"/>
      <c r="O971" s="252"/>
    </row>
    <row r="972" spans="1:15" hidden="1">
      <c r="A972" s="251">
        <v>45805</v>
      </c>
      <c r="B972" s="252" t="s">
        <v>3770</v>
      </c>
      <c r="C972" s="258" t="s">
        <v>176</v>
      </c>
      <c r="D972" s="253" t="s">
        <v>442</v>
      </c>
      <c r="E972" s="254">
        <v>135000</v>
      </c>
      <c r="F972" s="254">
        <v>240.6663870420368</v>
      </c>
      <c r="G972" s="264">
        <v>579.64599999999996</v>
      </c>
      <c r="H972" s="256" t="s">
        <v>183</v>
      </c>
      <c r="I972" s="257" t="s">
        <v>1625</v>
      </c>
      <c r="J972" s="256" t="s">
        <v>97</v>
      </c>
      <c r="K972" s="272" t="s">
        <v>201</v>
      </c>
      <c r="L972" s="256" t="s">
        <v>154</v>
      </c>
      <c r="M972" s="252"/>
      <c r="N972" s="252"/>
      <c r="O972" s="252"/>
    </row>
    <row r="973" spans="1:15" hidden="1">
      <c r="A973" s="251">
        <v>45805</v>
      </c>
      <c r="B973" s="252" t="s">
        <v>3770</v>
      </c>
      <c r="C973" s="258" t="s">
        <v>176</v>
      </c>
      <c r="D973" s="253" t="s">
        <v>442</v>
      </c>
      <c r="E973" s="254">
        <v>135000</v>
      </c>
      <c r="F973" s="254">
        <v>240.6663870420368</v>
      </c>
      <c r="G973" s="264">
        <v>579.64599999999996</v>
      </c>
      <c r="H973" s="256" t="s">
        <v>183</v>
      </c>
      <c r="I973" s="257" t="s">
        <v>1626</v>
      </c>
      <c r="J973" s="256" t="s">
        <v>97</v>
      </c>
      <c r="K973" s="272" t="s">
        <v>201</v>
      </c>
      <c r="L973" s="256" t="s">
        <v>154</v>
      </c>
      <c r="M973" s="252"/>
      <c r="N973" s="252"/>
      <c r="O973" s="252"/>
    </row>
    <row r="974" spans="1:15" hidden="1">
      <c r="A974" s="251">
        <v>45805</v>
      </c>
      <c r="B974" s="252" t="s">
        <v>3702</v>
      </c>
      <c r="C974" s="258" t="s">
        <v>176</v>
      </c>
      <c r="D974" s="253" t="s">
        <v>442</v>
      </c>
      <c r="E974" s="254">
        <v>30000</v>
      </c>
      <c r="F974" s="254">
        <v>53.481419342674847</v>
      </c>
      <c r="G974" s="264">
        <v>579.64599999999996</v>
      </c>
      <c r="H974" s="256" t="s">
        <v>316</v>
      </c>
      <c r="I974" s="256" t="s">
        <v>1596</v>
      </c>
      <c r="J974" s="256" t="s">
        <v>97</v>
      </c>
      <c r="K974" s="272" t="s">
        <v>201</v>
      </c>
      <c r="L974" s="256" t="s">
        <v>154</v>
      </c>
      <c r="M974" s="252"/>
      <c r="N974" s="252"/>
      <c r="O974" s="252"/>
    </row>
    <row r="975" spans="1:15" hidden="1">
      <c r="A975" s="251">
        <v>45805</v>
      </c>
      <c r="B975" s="252" t="s">
        <v>3694</v>
      </c>
      <c r="C975" s="252" t="s">
        <v>173</v>
      </c>
      <c r="D975" s="253" t="s">
        <v>442</v>
      </c>
      <c r="E975" s="254">
        <v>5000</v>
      </c>
      <c r="F975" s="254">
        <v>8.9135698904458067</v>
      </c>
      <c r="G975" s="264">
        <v>579.64599999999996</v>
      </c>
      <c r="H975" s="256" t="s">
        <v>316</v>
      </c>
      <c r="I975" s="256" t="s">
        <v>1597</v>
      </c>
      <c r="J975" s="256" t="s">
        <v>97</v>
      </c>
      <c r="K975" s="272" t="s">
        <v>201</v>
      </c>
      <c r="L975" s="256" t="s">
        <v>154</v>
      </c>
      <c r="M975" s="252"/>
      <c r="N975" s="252"/>
      <c r="O975" s="252"/>
    </row>
    <row r="976" spans="1:15" hidden="1">
      <c r="A976" s="251">
        <v>45805</v>
      </c>
      <c r="B976" s="252" t="s">
        <v>1681</v>
      </c>
      <c r="C976" s="252" t="s">
        <v>173</v>
      </c>
      <c r="D976" s="253" t="s">
        <v>442</v>
      </c>
      <c r="E976" s="254">
        <v>48500</v>
      </c>
      <c r="F976" s="254">
        <v>86.461627937324337</v>
      </c>
      <c r="G976" s="264">
        <v>579.64599999999996</v>
      </c>
      <c r="H976" s="256" t="s">
        <v>322</v>
      </c>
      <c r="I976" s="256" t="s">
        <v>1682</v>
      </c>
      <c r="J976" s="256" t="s">
        <v>97</v>
      </c>
      <c r="K976" s="272" t="s">
        <v>201</v>
      </c>
      <c r="L976" s="256" t="s">
        <v>154</v>
      </c>
      <c r="M976" s="252"/>
      <c r="N976" s="252"/>
      <c r="O976" s="252"/>
    </row>
    <row r="977" spans="1:15" hidden="1">
      <c r="A977" s="251">
        <v>45805</v>
      </c>
      <c r="B977" s="252" t="s">
        <v>1551</v>
      </c>
      <c r="C977" s="259" t="s">
        <v>2087</v>
      </c>
      <c r="D977" s="252" t="s">
        <v>117</v>
      </c>
      <c r="E977" s="254">
        <v>3750</v>
      </c>
      <c r="F977" s="254">
        <v>6.6851774178343559</v>
      </c>
      <c r="G977" s="264">
        <v>579.64599999999996</v>
      </c>
      <c r="H977" s="256" t="s">
        <v>189</v>
      </c>
      <c r="I977" s="256" t="s">
        <v>1751</v>
      </c>
      <c r="J977" s="256" t="s">
        <v>97</v>
      </c>
      <c r="K977" s="272" t="s">
        <v>201</v>
      </c>
      <c r="L977" s="256" t="s">
        <v>154</v>
      </c>
      <c r="M977" s="252"/>
      <c r="N977" s="252"/>
      <c r="O977" s="252"/>
    </row>
    <row r="978" spans="1:15" hidden="1">
      <c r="A978" s="251">
        <v>45806</v>
      </c>
      <c r="B978" s="252" t="s">
        <v>3689</v>
      </c>
      <c r="C978" s="252" t="s">
        <v>173</v>
      </c>
      <c r="D978" s="253" t="s">
        <v>442</v>
      </c>
      <c r="E978" s="254">
        <v>8000</v>
      </c>
      <c r="F978" s="254">
        <v>14.261711824713291</v>
      </c>
      <c r="G978" s="264">
        <v>579.64599999999996</v>
      </c>
      <c r="H978" s="256" t="s">
        <v>316</v>
      </c>
      <c r="I978" s="256" t="s">
        <v>1598</v>
      </c>
      <c r="J978" s="256" t="s">
        <v>97</v>
      </c>
      <c r="K978" s="272" t="s">
        <v>201</v>
      </c>
      <c r="L978" s="256" t="s">
        <v>154</v>
      </c>
      <c r="M978" s="252"/>
      <c r="N978" s="252"/>
      <c r="O978" s="252"/>
    </row>
    <row r="979" spans="1:15" hidden="1">
      <c r="A979" s="251">
        <v>45806</v>
      </c>
      <c r="B979" s="252" t="s">
        <v>3703</v>
      </c>
      <c r="C979" s="258" t="s">
        <v>176</v>
      </c>
      <c r="D979" s="253" t="s">
        <v>442</v>
      </c>
      <c r="E979" s="254">
        <v>15000</v>
      </c>
      <c r="F979" s="254">
        <v>26.740709671337424</v>
      </c>
      <c r="G979" s="264">
        <v>579.64599999999996</v>
      </c>
      <c r="H979" s="256" t="s">
        <v>316</v>
      </c>
      <c r="I979" s="256" t="s">
        <v>1599</v>
      </c>
      <c r="J979" s="256" t="s">
        <v>97</v>
      </c>
      <c r="K979" s="272" t="s">
        <v>201</v>
      </c>
      <c r="L979" s="256" t="s">
        <v>154</v>
      </c>
      <c r="M979" s="252"/>
      <c r="N979" s="252"/>
      <c r="O979" s="252"/>
    </row>
    <row r="980" spans="1:15" hidden="1">
      <c r="A980" s="251">
        <v>45806</v>
      </c>
      <c r="B980" s="252" t="s">
        <v>1600</v>
      </c>
      <c r="C980" s="252" t="s">
        <v>173</v>
      </c>
      <c r="D980" s="253" t="s">
        <v>442</v>
      </c>
      <c r="E980" s="254">
        <v>28700</v>
      </c>
      <c r="F980" s="254">
        <v>51.163891171158937</v>
      </c>
      <c r="G980" s="264">
        <v>579.64599999999996</v>
      </c>
      <c r="H980" s="256" t="s">
        <v>316</v>
      </c>
      <c r="I980" s="256" t="s">
        <v>1601</v>
      </c>
      <c r="J980" s="256" t="s">
        <v>97</v>
      </c>
      <c r="K980" s="272" t="s">
        <v>201</v>
      </c>
      <c r="L980" s="256" t="s">
        <v>154</v>
      </c>
      <c r="M980" s="252"/>
      <c r="N980" s="252"/>
      <c r="O980" s="252"/>
    </row>
    <row r="981" spans="1:15" hidden="1">
      <c r="A981" s="251">
        <v>45807</v>
      </c>
      <c r="B981" s="252" t="s">
        <v>1526</v>
      </c>
      <c r="C981" s="252" t="s">
        <v>126</v>
      </c>
      <c r="D981" s="253" t="s">
        <v>442</v>
      </c>
      <c r="E981" s="254">
        <v>245000</v>
      </c>
      <c r="F981" s="254">
        <v>436.76492463184456</v>
      </c>
      <c r="G981" s="255">
        <v>560.94248000000005</v>
      </c>
      <c r="H981" s="256" t="s">
        <v>147</v>
      </c>
      <c r="I981" s="256" t="s">
        <v>1891</v>
      </c>
      <c r="J981" s="256" t="s">
        <v>97</v>
      </c>
      <c r="K981" s="269" t="s">
        <v>1903</v>
      </c>
      <c r="L981" s="274" t="s">
        <v>154</v>
      </c>
      <c r="M981" s="252"/>
      <c r="N981" s="252"/>
      <c r="O981" s="252"/>
    </row>
    <row r="982" spans="1:15" hidden="1">
      <c r="A982" s="251">
        <v>45807</v>
      </c>
      <c r="B982" s="252" t="s">
        <v>1691</v>
      </c>
      <c r="C982" s="252" t="s">
        <v>173</v>
      </c>
      <c r="D982" s="252" t="s">
        <v>118</v>
      </c>
      <c r="E982" s="254">
        <v>57000</v>
      </c>
      <c r="F982" s="254">
        <v>101.61469675108221</v>
      </c>
      <c r="G982" s="264">
        <v>579.64599999999996</v>
      </c>
      <c r="H982" s="256" t="s">
        <v>152</v>
      </c>
      <c r="I982" s="275" t="s">
        <v>1692</v>
      </c>
      <c r="J982" s="256" t="s">
        <v>97</v>
      </c>
      <c r="K982" s="272" t="s">
        <v>201</v>
      </c>
      <c r="L982" s="256" t="s">
        <v>154</v>
      </c>
      <c r="M982" s="252"/>
      <c r="N982" s="252"/>
      <c r="O982" s="252"/>
    </row>
    <row r="983" spans="1:15" hidden="1">
      <c r="A983" s="251">
        <v>45807</v>
      </c>
      <c r="B983" s="252" t="s">
        <v>1578</v>
      </c>
      <c r="C983" s="252" t="s">
        <v>151</v>
      </c>
      <c r="D983" s="252" t="s">
        <v>118</v>
      </c>
      <c r="E983" s="254">
        <v>21000</v>
      </c>
      <c r="F983" s="254">
        <v>37.43699353987239</v>
      </c>
      <c r="G983" s="264">
        <v>579.64599999999996</v>
      </c>
      <c r="H983" s="256" t="s">
        <v>152</v>
      </c>
      <c r="I983" s="275" t="s">
        <v>1693</v>
      </c>
      <c r="J983" s="256" t="s">
        <v>97</v>
      </c>
      <c r="K983" s="272" t="s">
        <v>201</v>
      </c>
      <c r="L983" s="256" t="s">
        <v>154</v>
      </c>
      <c r="M983" s="252"/>
      <c r="N983" s="252"/>
      <c r="O983" s="252"/>
    </row>
    <row r="984" spans="1:15" hidden="1">
      <c r="A984" s="251">
        <v>45807</v>
      </c>
      <c r="B984" s="252" t="s">
        <v>1722</v>
      </c>
      <c r="C984" s="252" t="s">
        <v>173</v>
      </c>
      <c r="D984" s="253" t="s">
        <v>116</v>
      </c>
      <c r="E984" s="254">
        <v>21500</v>
      </c>
      <c r="F984" s="254">
        <v>38.328350528916971</v>
      </c>
      <c r="G984" s="264">
        <v>579.64599999999996</v>
      </c>
      <c r="H984" s="256" t="s">
        <v>199</v>
      </c>
      <c r="I984" s="257" t="s">
        <v>1723</v>
      </c>
      <c r="J984" s="256" t="s">
        <v>97</v>
      </c>
      <c r="K984" s="272" t="s">
        <v>201</v>
      </c>
      <c r="L984" s="256" t="s">
        <v>154</v>
      </c>
      <c r="M984" s="252"/>
      <c r="N984" s="252"/>
      <c r="O984" s="252"/>
    </row>
    <row r="985" spans="1:15" hidden="1">
      <c r="A985" s="251">
        <v>45807</v>
      </c>
      <c r="B985" s="252" t="s">
        <v>1577</v>
      </c>
      <c r="C985" s="252" t="s">
        <v>151</v>
      </c>
      <c r="D985" s="253" t="s">
        <v>116</v>
      </c>
      <c r="E985" s="254">
        <v>16000</v>
      </c>
      <c r="F985" s="254">
        <v>28.523423649426583</v>
      </c>
      <c r="G985" s="264">
        <v>579.64599999999996</v>
      </c>
      <c r="H985" s="256" t="s">
        <v>199</v>
      </c>
      <c r="I985" s="257" t="s">
        <v>1724</v>
      </c>
      <c r="J985" s="256" t="s">
        <v>97</v>
      </c>
      <c r="K985" s="272" t="s">
        <v>201</v>
      </c>
      <c r="L985" s="256" t="s">
        <v>154</v>
      </c>
      <c r="M985" s="252"/>
      <c r="N985" s="252"/>
      <c r="O985" s="252"/>
    </row>
    <row r="986" spans="1:15" hidden="1">
      <c r="A986" s="251">
        <v>45807</v>
      </c>
      <c r="B986" s="252" t="s">
        <v>1584</v>
      </c>
      <c r="C986" s="252" t="s">
        <v>151</v>
      </c>
      <c r="D986" s="253" t="s">
        <v>116</v>
      </c>
      <c r="E986" s="254">
        <v>5000</v>
      </c>
      <c r="F986" s="254">
        <v>8.9135698904458067</v>
      </c>
      <c r="G986" s="264">
        <v>579.64599999999996</v>
      </c>
      <c r="H986" s="256" t="s">
        <v>199</v>
      </c>
      <c r="I986" s="257" t="s">
        <v>1725</v>
      </c>
      <c r="J986" s="256" t="s">
        <v>97</v>
      </c>
      <c r="K986" s="272" t="s">
        <v>201</v>
      </c>
      <c r="L986" s="256" t="s">
        <v>154</v>
      </c>
      <c r="M986" s="252"/>
      <c r="N986" s="252"/>
      <c r="O986" s="252"/>
    </row>
    <row r="987" spans="1:15" hidden="1">
      <c r="A987" s="251">
        <v>45807</v>
      </c>
      <c r="B987" s="252" t="s">
        <v>1743</v>
      </c>
      <c r="C987" s="252" t="s">
        <v>173</v>
      </c>
      <c r="D987" s="252" t="s">
        <v>117</v>
      </c>
      <c r="E987" s="254">
        <v>38500</v>
      </c>
      <c r="F987" s="254">
        <v>68.634488156432724</v>
      </c>
      <c r="G987" s="264">
        <v>579.64599999999996</v>
      </c>
      <c r="H987" s="256" t="s">
        <v>583</v>
      </c>
      <c r="I987" s="256" t="s">
        <v>1744</v>
      </c>
      <c r="J987" s="256" t="s">
        <v>97</v>
      </c>
      <c r="K987" s="272" t="s">
        <v>201</v>
      </c>
      <c r="L987" s="256" t="s">
        <v>154</v>
      </c>
      <c r="M987" s="252"/>
      <c r="N987" s="252"/>
      <c r="O987" s="252"/>
    </row>
    <row r="988" spans="1:15" hidden="1">
      <c r="A988" s="251">
        <v>45807</v>
      </c>
      <c r="B988" s="252" t="s">
        <v>1556</v>
      </c>
      <c r="C988" s="258" t="s">
        <v>125</v>
      </c>
      <c r="D988" s="252" t="s">
        <v>117</v>
      </c>
      <c r="E988" s="254">
        <v>10000</v>
      </c>
      <c r="F988" s="254">
        <v>17.827139780891613</v>
      </c>
      <c r="G988" s="264">
        <v>579.64599999999996</v>
      </c>
      <c r="H988" s="256" t="s">
        <v>583</v>
      </c>
      <c r="I988" s="256" t="s">
        <v>1737</v>
      </c>
      <c r="J988" s="256" t="s">
        <v>97</v>
      </c>
      <c r="K988" s="272" t="s">
        <v>201</v>
      </c>
      <c r="L988" s="256" t="s">
        <v>154</v>
      </c>
      <c r="M988" s="252"/>
      <c r="N988" s="252"/>
      <c r="O988" s="252"/>
    </row>
    <row r="989" spans="1:15" hidden="1">
      <c r="A989" s="251">
        <v>45807</v>
      </c>
      <c r="B989" s="252" t="s">
        <v>1557</v>
      </c>
      <c r="C989" s="252" t="s">
        <v>626</v>
      </c>
      <c r="D989" s="252" t="s">
        <v>117</v>
      </c>
      <c r="E989" s="254">
        <v>45050</v>
      </c>
      <c r="F989" s="254">
        <v>80.311264712916724</v>
      </c>
      <c r="G989" s="264">
        <v>579.64599999999996</v>
      </c>
      <c r="H989" s="256" t="s">
        <v>583</v>
      </c>
      <c r="I989" s="256" t="s">
        <v>1738</v>
      </c>
      <c r="J989" s="256" t="s">
        <v>97</v>
      </c>
      <c r="K989" s="272" t="s">
        <v>201</v>
      </c>
      <c r="L989" s="256" t="s">
        <v>154</v>
      </c>
      <c r="M989" s="252"/>
      <c r="N989" s="252"/>
      <c r="O989" s="252"/>
    </row>
    <row r="990" spans="1:15" hidden="1">
      <c r="A990" s="251">
        <v>45807</v>
      </c>
      <c r="B990" s="252" t="s">
        <v>1559</v>
      </c>
      <c r="C990" s="259" t="s">
        <v>2087</v>
      </c>
      <c r="D990" s="252" t="s">
        <v>117</v>
      </c>
      <c r="E990" s="254">
        <v>11200</v>
      </c>
      <c r="F990" s="254">
        <v>19.96639655459861</v>
      </c>
      <c r="G990" s="264">
        <v>579.64599999999996</v>
      </c>
      <c r="H990" s="256" t="s">
        <v>583</v>
      </c>
      <c r="I990" s="256" t="s">
        <v>1739</v>
      </c>
      <c r="J990" s="256" t="s">
        <v>97</v>
      </c>
      <c r="K990" s="272" t="s">
        <v>201</v>
      </c>
      <c r="L990" s="256" t="s">
        <v>154</v>
      </c>
      <c r="M990" s="252"/>
      <c r="N990" s="252"/>
      <c r="O990" s="252"/>
    </row>
    <row r="991" spans="1:15" hidden="1">
      <c r="A991" s="251">
        <v>45807</v>
      </c>
      <c r="B991" s="252" t="s">
        <v>1579</v>
      </c>
      <c r="C991" s="252" t="s">
        <v>151</v>
      </c>
      <c r="D991" s="252" t="s">
        <v>1567</v>
      </c>
      <c r="E991" s="254">
        <v>21000</v>
      </c>
      <c r="F991" s="254">
        <v>37.43699353987239</v>
      </c>
      <c r="G991" s="264">
        <v>579.64599999999996</v>
      </c>
      <c r="H991" s="256" t="s">
        <v>583</v>
      </c>
      <c r="I991" s="256" t="s">
        <v>1745</v>
      </c>
      <c r="J991" s="256" t="s">
        <v>97</v>
      </c>
      <c r="K991" s="272" t="s">
        <v>201</v>
      </c>
      <c r="L991" s="256" t="s">
        <v>154</v>
      </c>
      <c r="M991" s="252"/>
      <c r="N991" s="252"/>
      <c r="O991" s="252"/>
    </row>
    <row r="992" spans="1:15" hidden="1">
      <c r="A992" s="251">
        <v>45807</v>
      </c>
      <c r="B992" s="252" t="s">
        <v>1576</v>
      </c>
      <c r="C992" s="252" t="s">
        <v>151</v>
      </c>
      <c r="D992" s="253" t="s">
        <v>442</v>
      </c>
      <c r="E992" s="254">
        <v>10000</v>
      </c>
      <c r="F992" s="254">
        <v>17.827139780891613</v>
      </c>
      <c r="G992" s="264">
        <v>579.64599999999996</v>
      </c>
      <c r="H992" s="256" t="s">
        <v>183</v>
      </c>
      <c r="I992" s="257" t="s">
        <v>1632</v>
      </c>
      <c r="J992" s="256" t="s">
        <v>97</v>
      </c>
      <c r="K992" s="272" t="s">
        <v>201</v>
      </c>
      <c r="L992" s="256" t="s">
        <v>154</v>
      </c>
      <c r="M992" s="252"/>
      <c r="N992" s="252"/>
      <c r="O992" s="252"/>
    </row>
    <row r="993" spans="1:15" hidden="1">
      <c r="A993" s="251">
        <v>45807</v>
      </c>
      <c r="B993" s="252" t="s">
        <v>1585</v>
      </c>
      <c r="C993" s="252" t="s">
        <v>151</v>
      </c>
      <c r="D993" s="253" t="s">
        <v>442</v>
      </c>
      <c r="E993" s="254">
        <v>16000</v>
      </c>
      <c r="F993" s="254">
        <v>28.523423649426583</v>
      </c>
      <c r="G993" s="264">
        <v>579.64599999999996</v>
      </c>
      <c r="H993" s="256" t="s">
        <v>183</v>
      </c>
      <c r="I993" s="257" t="s">
        <v>1633</v>
      </c>
      <c r="J993" s="256" t="s">
        <v>97</v>
      </c>
      <c r="K993" s="272" t="s">
        <v>201</v>
      </c>
      <c r="L993" s="256" t="s">
        <v>154</v>
      </c>
      <c r="M993" s="252"/>
      <c r="N993" s="252"/>
      <c r="O993" s="252"/>
    </row>
    <row r="994" spans="1:15" hidden="1">
      <c r="A994" s="251">
        <v>45807</v>
      </c>
      <c r="B994" s="252" t="s">
        <v>1576</v>
      </c>
      <c r="C994" s="252" t="s">
        <v>151</v>
      </c>
      <c r="D994" s="253" t="s">
        <v>442</v>
      </c>
      <c r="E994" s="254">
        <v>26000</v>
      </c>
      <c r="F994" s="254">
        <v>46.350563430318196</v>
      </c>
      <c r="G994" s="264">
        <v>579.64599999999996</v>
      </c>
      <c r="H994" s="256" t="s">
        <v>174</v>
      </c>
      <c r="I994" s="256" t="s">
        <v>1658</v>
      </c>
      <c r="J994" s="256" t="s">
        <v>97</v>
      </c>
      <c r="K994" s="272" t="s">
        <v>201</v>
      </c>
      <c r="L994" s="256" t="s">
        <v>154</v>
      </c>
      <c r="M994" s="252"/>
      <c r="N994" s="252"/>
      <c r="O994" s="252"/>
    </row>
    <row r="995" spans="1:15" hidden="1">
      <c r="A995" s="251">
        <v>45807</v>
      </c>
      <c r="B995" s="252" t="s">
        <v>1576</v>
      </c>
      <c r="C995" s="252" t="s">
        <v>151</v>
      </c>
      <c r="D995" s="253" t="s">
        <v>442</v>
      </c>
      <c r="E995" s="254">
        <v>26000</v>
      </c>
      <c r="F995" s="254">
        <v>46.350563430318196</v>
      </c>
      <c r="G995" s="264">
        <v>579.64599999999996</v>
      </c>
      <c r="H995" s="256" t="s">
        <v>316</v>
      </c>
      <c r="I995" s="256" t="s">
        <v>1603</v>
      </c>
      <c r="J995" s="256" t="s">
        <v>97</v>
      </c>
      <c r="K995" s="272" t="s">
        <v>201</v>
      </c>
      <c r="L995" s="256" t="s">
        <v>154</v>
      </c>
      <c r="M995" s="252"/>
      <c r="N995" s="252"/>
      <c r="O995" s="252"/>
    </row>
    <row r="996" spans="1:15" hidden="1">
      <c r="A996" s="251">
        <v>45807</v>
      </c>
      <c r="B996" s="252" t="s">
        <v>1576</v>
      </c>
      <c r="C996" s="252" t="s">
        <v>151</v>
      </c>
      <c r="D996" s="253" t="s">
        <v>442</v>
      </c>
      <c r="E996" s="254">
        <v>10000</v>
      </c>
      <c r="F996" s="254">
        <v>17.827139780891613</v>
      </c>
      <c r="G996" s="264">
        <v>579.64599999999996</v>
      </c>
      <c r="H996" s="256" t="s">
        <v>322</v>
      </c>
      <c r="I996" s="256" t="s">
        <v>1686</v>
      </c>
      <c r="J996" s="256" t="s">
        <v>97</v>
      </c>
      <c r="K996" s="272" t="s">
        <v>201</v>
      </c>
      <c r="L996" s="256" t="s">
        <v>154</v>
      </c>
      <c r="M996" s="252"/>
      <c r="N996" s="252"/>
      <c r="O996" s="252"/>
    </row>
    <row r="997" spans="1:15" hidden="1">
      <c r="A997" s="251">
        <v>45807</v>
      </c>
      <c r="B997" s="252" t="s">
        <v>1585</v>
      </c>
      <c r="C997" s="252" t="s">
        <v>151</v>
      </c>
      <c r="D997" s="253" t="s">
        <v>442</v>
      </c>
      <c r="E997" s="254">
        <v>16000</v>
      </c>
      <c r="F997" s="254">
        <v>28.523423649426583</v>
      </c>
      <c r="G997" s="264">
        <v>579.64599999999996</v>
      </c>
      <c r="H997" s="256" t="s">
        <v>322</v>
      </c>
      <c r="I997" s="256" t="s">
        <v>1898</v>
      </c>
      <c r="J997" s="256" t="s">
        <v>97</v>
      </c>
      <c r="K997" s="272" t="s">
        <v>201</v>
      </c>
      <c r="L997" s="256" t="s">
        <v>154</v>
      </c>
      <c r="M997" s="252"/>
      <c r="N997" s="252"/>
      <c r="O997" s="252"/>
    </row>
    <row r="998" spans="1:15" hidden="1">
      <c r="A998" s="251">
        <v>45807</v>
      </c>
      <c r="B998" s="252" t="s">
        <v>1577</v>
      </c>
      <c r="C998" s="252" t="s">
        <v>151</v>
      </c>
      <c r="D998" s="253" t="s">
        <v>116</v>
      </c>
      <c r="E998" s="254">
        <v>16000</v>
      </c>
      <c r="F998" s="254">
        <v>28.523423649426583</v>
      </c>
      <c r="G998" s="264">
        <v>579.64599999999996</v>
      </c>
      <c r="H998" s="256" t="s">
        <v>189</v>
      </c>
      <c r="I998" s="256" t="s">
        <v>1766</v>
      </c>
      <c r="J998" s="256" t="s">
        <v>97</v>
      </c>
      <c r="K998" s="272" t="s">
        <v>201</v>
      </c>
      <c r="L998" s="256" t="s">
        <v>154</v>
      </c>
      <c r="M998" s="252"/>
      <c r="N998" s="252"/>
      <c r="O998" s="252"/>
    </row>
    <row r="999" spans="1:15" hidden="1">
      <c r="A999" s="251">
        <v>45807</v>
      </c>
      <c r="B999" s="252" t="s">
        <v>1584</v>
      </c>
      <c r="C999" s="252" t="s">
        <v>151</v>
      </c>
      <c r="D999" s="253" t="s">
        <v>116</v>
      </c>
      <c r="E999" s="254">
        <v>5000</v>
      </c>
      <c r="F999" s="254">
        <v>8.9135698904458067</v>
      </c>
      <c r="G999" s="264">
        <v>579.64599999999996</v>
      </c>
      <c r="H999" s="256" t="s">
        <v>189</v>
      </c>
      <c r="I999" s="256" t="s">
        <v>1767</v>
      </c>
      <c r="J999" s="256" t="s">
        <v>97</v>
      </c>
      <c r="K999" s="272" t="s">
        <v>201</v>
      </c>
      <c r="L999" s="256" t="s">
        <v>154</v>
      </c>
      <c r="M999" s="252"/>
      <c r="N999" s="252"/>
      <c r="O999" s="252"/>
    </row>
    <row r="1000" spans="1:15" hidden="1">
      <c r="A1000" s="251">
        <v>45807</v>
      </c>
      <c r="B1000" s="252" t="s">
        <v>1558</v>
      </c>
      <c r="C1000" s="259" t="s">
        <v>2087</v>
      </c>
      <c r="D1000" s="252" t="s">
        <v>117</v>
      </c>
      <c r="E1000" s="254">
        <v>14100</v>
      </c>
      <c r="F1000" s="254">
        <v>25.136267091057178</v>
      </c>
      <c r="G1000" s="264">
        <v>579.64599999999996</v>
      </c>
      <c r="H1000" s="256" t="s">
        <v>189</v>
      </c>
      <c r="I1000" s="256" t="s">
        <v>1752</v>
      </c>
      <c r="J1000" s="256" t="s">
        <v>97</v>
      </c>
      <c r="K1000" s="272" t="s">
        <v>201</v>
      </c>
      <c r="L1000" s="256" t="s">
        <v>154</v>
      </c>
      <c r="M1000" s="252"/>
      <c r="N1000" s="252"/>
      <c r="O1000" s="252"/>
    </row>
    <row r="1001" spans="1:15" hidden="1">
      <c r="A1001" s="251">
        <v>45807</v>
      </c>
      <c r="B1001" s="252" t="s">
        <v>1560</v>
      </c>
      <c r="C1001" s="252" t="s">
        <v>173</v>
      </c>
      <c r="D1001" s="253" t="s">
        <v>116</v>
      </c>
      <c r="E1001" s="254">
        <v>74000</v>
      </c>
      <c r="F1001" s="254">
        <v>131.92083437859796</v>
      </c>
      <c r="G1001" s="264">
        <v>579.64599999999996</v>
      </c>
      <c r="H1001" s="256" t="s">
        <v>189</v>
      </c>
      <c r="I1001" s="256" t="s">
        <v>1839</v>
      </c>
      <c r="J1001" s="256" t="s">
        <v>97</v>
      </c>
      <c r="K1001" s="272" t="s">
        <v>201</v>
      </c>
      <c r="L1001" s="256" t="s">
        <v>154</v>
      </c>
      <c r="M1001" s="252"/>
      <c r="N1001" s="252"/>
      <c r="O1001" s="252"/>
    </row>
    <row r="1002" spans="1:15" hidden="1">
      <c r="A1002" s="251">
        <v>45807</v>
      </c>
      <c r="B1002" s="252" t="s">
        <v>1561</v>
      </c>
      <c r="C1002" s="258" t="s">
        <v>176</v>
      </c>
      <c r="D1002" s="253" t="s">
        <v>116</v>
      </c>
      <c r="E1002" s="254">
        <v>125000</v>
      </c>
      <c r="F1002" s="254">
        <v>222.83924726114518</v>
      </c>
      <c r="G1002" s="264">
        <v>579.64599999999996</v>
      </c>
      <c r="H1002" s="256" t="s">
        <v>189</v>
      </c>
      <c r="I1002" s="256" t="s">
        <v>1840</v>
      </c>
      <c r="J1002" s="256" t="s">
        <v>97</v>
      </c>
      <c r="K1002" s="272" t="s">
        <v>201</v>
      </c>
      <c r="L1002" s="256" t="s">
        <v>154</v>
      </c>
      <c r="M1002" s="252"/>
      <c r="N1002" s="252"/>
      <c r="O1002" s="252"/>
    </row>
    <row r="1003" spans="1:15" hidden="1">
      <c r="A1003" s="251">
        <v>45807</v>
      </c>
      <c r="B1003" s="252" t="s">
        <v>1792</v>
      </c>
      <c r="C1003" s="252" t="s">
        <v>173</v>
      </c>
      <c r="D1003" s="253" t="s">
        <v>116</v>
      </c>
      <c r="E1003" s="254">
        <v>26400</v>
      </c>
      <c r="F1003" s="254">
        <v>47.063649021553864</v>
      </c>
      <c r="G1003" s="264">
        <v>579.64599999999996</v>
      </c>
      <c r="H1003" s="256" t="s">
        <v>192</v>
      </c>
      <c r="I1003" s="256" t="s">
        <v>1793</v>
      </c>
      <c r="J1003" s="256" t="s">
        <v>97</v>
      </c>
      <c r="K1003" s="272" t="s">
        <v>201</v>
      </c>
      <c r="L1003" s="256" t="s">
        <v>154</v>
      </c>
      <c r="M1003" s="252"/>
      <c r="N1003" s="252"/>
      <c r="O1003" s="252"/>
    </row>
    <row r="1004" spans="1:15" hidden="1">
      <c r="A1004" s="251">
        <v>45807</v>
      </c>
      <c r="B1004" s="252" t="s">
        <v>1577</v>
      </c>
      <c r="C1004" s="252" t="s">
        <v>151</v>
      </c>
      <c r="D1004" s="253" t="s">
        <v>116</v>
      </c>
      <c r="E1004" s="254">
        <v>21000</v>
      </c>
      <c r="F1004" s="254">
        <v>37.43699353987239</v>
      </c>
      <c r="G1004" s="264">
        <v>579.64599999999996</v>
      </c>
      <c r="H1004" s="256" t="s">
        <v>192</v>
      </c>
      <c r="I1004" s="256" t="s">
        <v>1794</v>
      </c>
      <c r="J1004" s="256" t="s">
        <v>97</v>
      </c>
      <c r="K1004" s="272" t="s">
        <v>201</v>
      </c>
      <c r="L1004" s="256" t="s">
        <v>154</v>
      </c>
      <c r="M1004" s="252"/>
      <c r="N1004" s="252"/>
      <c r="O1004" s="252"/>
    </row>
    <row r="1005" spans="1:15" hidden="1">
      <c r="A1005" s="251">
        <v>45807</v>
      </c>
      <c r="B1005" s="252" t="s">
        <v>1577</v>
      </c>
      <c r="C1005" s="252" t="s">
        <v>151</v>
      </c>
      <c r="D1005" s="253" t="s">
        <v>116</v>
      </c>
      <c r="E1005" s="254">
        <v>21000</v>
      </c>
      <c r="F1005" s="254">
        <v>37.43699353987239</v>
      </c>
      <c r="G1005" s="264">
        <v>579.64599999999996</v>
      </c>
      <c r="H1005" s="256" t="s">
        <v>196</v>
      </c>
      <c r="I1005" s="256" t="s">
        <v>1816</v>
      </c>
      <c r="J1005" s="256" t="s">
        <v>97</v>
      </c>
      <c r="K1005" s="272" t="s">
        <v>201</v>
      </c>
      <c r="L1005" s="256" t="s">
        <v>154</v>
      </c>
      <c r="M1005" s="252"/>
      <c r="N1005" s="252"/>
      <c r="O1005" s="252"/>
    </row>
    <row r="1006" spans="1:15" hidden="1">
      <c r="A1006" s="251">
        <v>45807</v>
      </c>
      <c r="B1006" s="252" t="s">
        <v>1834</v>
      </c>
      <c r="C1006" s="252" t="s">
        <v>173</v>
      </c>
      <c r="D1006" s="252" t="s">
        <v>119</v>
      </c>
      <c r="E1006" s="254">
        <v>18000</v>
      </c>
      <c r="F1006" s="254">
        <v>32.088851605604908</v>
      </c>
      <c r="G1006" s="264">
        <v>579.64599999999996</v>
      </c>
      <c r="H1006" s="256" t="s">
        <v>212</v>
      </c>
      <c r="I1006" s="256" t="s">
        <v>1835</v>
      </c>
      <c r="J1006" s="256" t="s">
        <v>97</v>
      </c>
      <c r="K1006" s="272" t="s">
        <v>201</v>
      </c>
      <c r="L1006" s="256" t="s">
        <v>154</v>
      </c>
      <c r="M1006" s="252"/>
      <c r="N1006" s="252"/>
      <c r="O1006" s="252"/>
    </row>
    <row r="1007" spans="1:15" hidden="1">
      <c r="A1007" s="251">
        <v>45807</v>
      </c>
      <c r="B1007" s="252" t="s">
        <v>1870</v>
      </c>
      <c r="C1007" s="252" t="s">
        <v>173</v>
      </c>
      <c r="D1007" s="253" t="s">
        <v>116</v>
      </c>
      <c r="E1007" s="254">
        <v>58400</v>
      </c>
      <c r="F1007" s="254">
        <v>104.11049632040704</v>
      </c>
      <c r="G1007" s="264">
        <v>579.64599999999996</v>
      </c>
      <c r="H1007" s="256" t="s">
        <v>186</v>
      </c>
      <c r="I1007" s="256" t="s">
        <v>1871</v>
      </c>
      <c r="J1007" s="256" t="s">
        <v>97</v>
      </c>
      <c r="K1007" s="272" t="s">
        <v>201</v>
      </c>
      <c r="L1007" s="256" t="s">
        <v>154</v>
      </c>
      <c r="M1007" s="252"/>
      <c r="N1007" s="252"/>
      <c r="O1007" s="252"/>
    </row>
    <row r="1008" spans="1:15" hidden="1">
      <c r="A1008" s="251">
        <v>45807</v>
      </c>
      <c r="B1008" s="252" t="s">
        <v>1577</v>
      </c>
      <c r="C1008" s="252" t="s">
        <v>151</v>
      </c>
      <c r="D1008" s="253" t="s">
        <v>116</v>
      </c>
      <c r="E1008" s="254">
        <v>21000</v>
      </c>
      <c r="F1008" s="254">
        <v>37.43699353987239</v>
      </c>
      <c r="G1008" s="264">
        <v>579.64599999999996</v>
      </c>
      <c r="H1008" s="256" t="s">
        <v>186</v>
      </c>
      <c r="I1008" s="256" t="s">
        <v>1872</v>
      </c>
      <c r="J1008" s="256" t="s">
        <v>97</v>
      </c>
      <c r="K1008" s="272" t="s">
        <v>201</v>
      </c>
      <c r="L1008" s="256" t="s">
        <v>154</v>
      </c>
      <c r="M1008" s="252"/>
      <c r="N1008" s="252"/>
      <c r="O1008" s="252"/>
    </row>
    <row r="1009" spans="1:15" hidden="1">
      <c r="A1009" s="251">
        <v>45807</v>
      </c>
      <c r="B1009" s="252" t="s">
        <v>1587</v>
      </c>
      <c r="C1009" s="252" t="s">
        <v>151</v>
      </c>
      <c r="D1009" s="252" t="s">
        <v>119</v>
      </c>
      <c r="E1009" s="254">
        <v>10000</v>
      </c>
      <c r="F1009" s="254">
        <v>17.827139780891613</v>
      </c>
      <c r="G1009" s="264">
        <v>579.64599999999996</v>
      </c>
      <c r="H1009" s="256" t="s">
        <v>212</v>
      </c>
      <c r="I1009" s="256" t="s">
        <v>1837</v>
      </c>
      <c r="J1009" s="256" t="s">
        <v>97</v>
      </c>
      <c r="K1009" s="272" t="s">
        <v>201</v>
      </c>
      <c r="L1009" s="256" t="s">
        <v>154</v>
      </c>
      <c r="M1009" s="252"/>
      <c r="N1009" s="252"/>
      <c r="O1009" s="252"/>
    </row>
    <row r="1010" spans="1:15" hidden="1">
      <c r="A1010" s="251">
        <v>45807</v>
      </c>
      <c r="B1010" s="252" t="s">
        <v>1586</v>
      </c>
      <c r="C1010" s="252" t="s">
        <v>151</v>
      </c>
      <c r="D1010" s="252" t="s">
        <v>119</v>
      </c>
      <c r="E1010" s="254">
        <v>11000</v>
      </c>
      <c r="F1010" s="254">
        <v>19.609853758980776</v>
      </c>
      <c r="G1010" s="264">
        <v>579.64599999999996</v>
      </c>
      <c r="H1010" s="256" t="s">
        <v>212</v>
      </c>
      <c r="I1010" s="256" t="s">
        <v>1838</v>
      </c>
      <c r="J1010" s="256" t="s">
        <v>97</v>
      </c>
      <c r="K1010" s="272" t="s">
        <v>201</v>
      </c>
      <c r="L1010" s="256" t="s">
        <v>154</v>
      </c>
      <c r="M1010" s="252"/>
      <c r="N1010" s="252"/>
      <c r="O1010" s="252"/>
    </row>
    <row r="1011" spans="1:15" hidden="1">
      <c r="A1011" s="251">
        <v>45808</v>
      </c>
      <c r="B1011" s="252" t="s">
        <v>3762</v>
      </c>
      <c r="C1011" s="258" t="s">
        <v>176</v>
      </c>
      <c r="D1011" s="253" t="s">
        <v>442</v>
      </c>
      <c r="E1011" s="254">
        <v>60000</v>
      </c>
      <c r="F1011" s="254">
        <v>106.96283868534969</v>
      </c>
      <c r="G1011" s="264">
        <v>579.64599999999996</v>
      </c>
      <c r="H1011" s="256" t="s">
        <v>183</v>
      </c>
      <c r="I1011" s="257" t="s">
        <v>1627</v>
      </c>
      <c r="J1011" s="256" t="s">
        <v>97</v>
      </c>
      <c r="K1011" s="272" t="s">
        <v>201</v>
      </c>
      <c r="L1011" s="256" t="s">
        <v>154</v>
      </c>
      <c r="M1011" s="252"/>
      <c r="N1011" s="252"/>
      <c r="O1011" s="252"/>
    </row>
    <row r="1012" spans="1:15" hidden="1">
      <c r="A1012" s="251">
        <v>45808</v>
      </c>
      <c r="B1012" s="252" t="s">
        <v>1654</v>
      </c>
      <c r="C1012" s="252" t="s">
        <v>173</v>
      </c>
      <c r="D1012" s="253" t="s">
        <v>442</v>
      </c>
      <c r="E1012" s="254">
        <v>99500</v>
      </c>
      <c r="F1012" s="254">
        <v>177.38004081987157</v>
      </c>
      <c r="G1012" s="264">
        <v>579.64599999999996</v>
      </c>
      <c r="H1012" s="256" t="s">
        <v>174</v>
      </c>
      <c r="I1012" s="256" t="s">
        <v>1655</v>
      </c>
      <c r="J1012" s="256" t="s">
        <v>97</v>
      </c>
      <c r="K1012" s="272" t="s">
        <v>201</v>
      </c>
      <c r="L1012" s="256" t="s">
        <v>154</v>
      </c>
      <c r="M1012" s="252"/>
      <c r="N1012" s="252"/>
      <c r="O1012" s="252"/>
    </row>
    <row r="1013" spans="1:15" hidden="1">
      <c r="A1013" s="251">
        <v>45808</v>
      </c>
      <c r="B1013" s="252" t="s">
        <v>1768</v>
      </c>
      <c r="C1013" s="252" t="s">
        <v>173</v>
      </c>
      <c r="D1013" s="253" t="s">
        <v>116</v>
      </c>
      <c r="E1013" s="254">
        <v>31000</v>
      </c>
      <c r="F1013" s="254">
        <v>55.26413332076401</v>
      </c>
      <c r="G1013" s="264">
        <v>579.64599999999996</v>
      </c>
      <c r="H1013" s="256" t="s">
        <v>189</v>
      </c>
      <c r="I1013" s="256" t="s">
        <v>1769</v>
      </c>
      <c r="J1013" s="256" t="s">
        <v>97</v>
      </c>
      <c r="K1013" s="272" t="s">
        <v>201</v>
      </c>
      <c r="L1013" s="256" t="s">
        <v>154</v>
      </c>
      <c r="M1013" s="252"/>
      <c r="N1013" s="252"/>
      <c r="O1013" s="252"/>
    </row>
    <row r="1014" spans="1:15" hidden="1">
      <c r="A1014" s="251">
        <v>45808</v>
      </c>
      <c r="B1014" s="252" t="s">
        <v>1817</v>
      </c>
      <c r="C1014" s="252" t="s">
        <v>312</v>
      </c>
      <c r="D1014" s="253" t="s">
        <v>116</v>
      </c>
      <c r="E1014" s="254">
        <v>40500</v>
      </c>
      <c r="F1014" s="254">
        <v>72.199916112611035</v>
      </c>
      <c r="G1014" s="264">
        <v>579.64599999999996</v>
      </c>
      <c r="H1014" s="256" t="s">
        <v>196</v>
      </c>
      <c r="I1014" s="256" t="s">
        <v>1818</v>
      </c>
      <c r="J1014" s="256" t="s">
        <v>97</v>
      </c>
      <c r="K1014" s="272" t="s">
        <v>201</v>
      </c>
      <c r="L1014" s="256" t="s">
        <v>154</v>
      </c>
      <c r="M1014" s="252"/>
      <c r="N1014" s="252"/>
      <c r="O1014" s="252"/>
    </row>
    <row r="1015" spans="1:15" hidden="1">
      <c r="A1015" s="251">
        <v>45808</v>
      </c>
      <c r="B1015" s="252" t="s">
        <v>1819</v>
      </c>
      <c r="C1015" s="252" t="s">
        <v>195</v>
      </c>
      <c r="D1015" s="253" t="s">
        <v>116</v>
      </c>
      <c r="E1015" s="254">
        <v>46000</v>
      </c>
      <c r="F1015" s="254">
        <v>82.00484299210143</v>
      </c>
      <c r="G1015" s="264">
        <v>579.64599999999996</v>
      </c>
      <c r="H1015" s="256" t="s">
        <v>196</v>
      </c>
      <c r="I1015" s="256" t="s">
        <v>1820</v>
      </c>
      <c r="J1015" s="256" t="s">
        <v>97</v>
      </c>
      <c r="K1015" s="272" t="s">
        <v>201</v>
      </c>
      <c r="L1015" s="256" t="s">
        <v>154</v>
      </c>
      <c r="M1015" s="252"/>
      <c r="N1015" s="252"/>
      <c r="O1015" s="252"/>
    </row>
    <row r="1016" spans="1:15" hidden="1">
      <c r="A1016" s="276">
        <v>45809</v>
      </c>
      <c r="B1016" s="252" t="s">
        <v>3867</v>
      </c>
      <c r="C1016" s="258" t="s">
        <v>176</v>
      </c>
      <c r="D1016" s="253" t="s">
        <v>442</v>
      </c>
      <c r="E1016" s="254">
        <v>75000</v>
      </c>
      <c r="F1016" s="254">
        <v>133.70354835668712</v>
      </c>
      <c r="G1016" s="264">
        <v>579.64599999999996</v>
      </c>
      <c r="H1016" s="256" t="s">
        <v>174</v>
      </c>
      <c r="I1016" s="256" t="s">
        <v>175</v>
      </c>
      <c r="J1016" s="256" t="s">
        <v>97</v>
      </c>
      <c r="K1016" s="272" t="s">
        <v>201</v>
      </c>
      <c r="L1016" s="252" t="s">
        <v>154</v>
      </c>
      <c r="M1016" s="252"/>
      <c r="N1016" s="252"/>
      <c r="O1016" s="252"/>
    </row>
    <row r="1017" spans="1:15" hidden="1">
      <c r="A1017" s="276">
        <v>45809</v>
      </c>
      <c r="B1017" s="252" t="s">
        <v>2033</v>
      </c>
      <c r="C1017" s="252" t="s">
        <v>173</v>
      </c>
      <c r="D1017" s="252" t="s">
        <v>116</v>
      </c>
      <c r="E1017" s="254">
        <v>33000</v>
      </c>
      <c r="F1017" s="254">
        <v>58.829561276942329</v>
      </c>
      <c r="G1017" s="264">
        <v>579.64599999999996</v>
      </c>
      <c r="H1017" s="256" t="s">
        <v>186</v>
      </c>
      <c r="I1017" s="256" t="s">
        <v>187</v>
      </c>
      <c r="J1017" s="256" t="s">
        <v>97</v>
      </c>
      <c r="K1017" s="272" t="s">
        <v>201</v>
      </c>
      <c r="L1017" s="252" t="s">
        <v>154</v>
      </c>
      <c r="M1017" s="252"/>
      <c r="N1017" s="252"/>
      <c r="O1017" s="252"/>
    </row>
    <row r="1018" spans="1:15" hidden="1">
      <c r="A1018" s="276">
        <v>45809</v>
      </c>
      <c r="B1018" s="252" t="s">
        <v>2034</v>
      </c>
      <c r="C1018" s="258" t="s">
        <v>176</v>
      </c>
      <c r="D1018" s="252" t="s">
        <v>116</v>
      </c>
      <c r="E1018" s="254">
        <v>70000</v>
      </c>
      <c r="F1018" s="254">
        <v>124.78997846624131</v>
      </c>
      <c r="G1018" s="264">
        <v>579.64599999999996</v>
      </c>
      <c r="H1018" s="256" t="s">
        <v>186</v>
      </c>
      <c r="I1018" s="256" t="s">
        <v>204</v>
      </c>
      <c r="J1018" s="256" t="s">
        <v>97</v>
      </c>
      <c r="K1018" s="272" t="s">
        <v>201</v>
      </c>
      <c r="L1018" s="252" t="s">
        <v>154</v>
      </c>
      <c r="M1018" s="252"/>
      <c r="N1018" s="252"/>
      <c r="O1018" s="252"/>
    </row>
    <row r="1019" spans="1:15" hidden="1">
      <c r="A1019" s="276">
        <v>45810</v>
      </c>
      <c r="B1019" s="252" t="s">
        <v>2082</v>
      </c>
      <c r="C1019" s="259" t="s">
        <v>2087</v>
      </c>
      <c r="D1019" s="252" t="s">
        <v>117</v>
      </c>
      <c r="E1019" s="254">
        <v>6000</v>
      </c>
      <c r="F1019" s="254">
        <v>10.696283868534969</v>
      </c>
      <c r="G1019" s="264">
        <v>579.64599999999996</v>
      </c>
      <c r="H1019" s="256" t="s">
        <v>192</v>
      </c>
      <c r="I1019" s="256" t="s">
        <v>157</v>
      </c>
      <c r="J1019" s="256" t="s">
        <v>97</v>
      </c>
      <c r="K1019" s="272" t="s">
        <v>201</v>
      </c>
      <c r="L1019" s="252" t="s">
        <v>154</v>
      </c>
      <c r="M1019" s="252"/>
      <c r="N1019" s="252"/>
      <c r="O1019" s="252"/>
    </row>
    <row r="1020" spans="1:15" hidden="1">
      <c r="A1020" s="276">
        <v>45810</v>
      </c>
      <c r="B1020" s="252" t="s">
        <v>2083</v>
      </c>
      <c r="C1020" s="258" t="s">
        <v>2089</v>
      </c>
      <c r="D1020" s="252" t="s">
        <v>119</v>
      </c>
      <c r="E1020" s="254">
        <v>200000</v>
      </c>
      <c r="F1020" s="254">
        <v>356.54279561783233</v>
      </c>
      <c r="G1020" s="264">
        <v>579.64599999999996</v>
      </c>
      <c r="H1020" s="256" t="s">
        <v>212</v>
      </c>
      <c r="I1020" s="256" t="s">
        <v>315</v>
      </c>
      <c r="J1020" s="256" t="s">
        <v>97</v>
      </c>
      <c r="K1020" s="272" t="s">
        <v>201</v>
      </c>
      <c r="L1020" s="252" t="s">
        <v>154</v>
      </c>
      <c r="M1020" s="252"/>
      <c r="N1020" s="252"/>
      <c r="O1020" s="252"/>
    </row>
    <row r="1021" spans="1:15" hidden="1">
      <c r="A1021" s="276">
        <v>45810</v>
      </c>
      <c r="B1021" s="252" t="s">
        <v>2035</v>
      </c>
      <c r="C1021" s="258" t="s">
        <v>176</v>
      </c>
      <c r="D1021" s="252" t="s">
        <v>116</v>
      </c>
      <c r="E1021" s="254">
        <v>15000</v>
      </c>
      <c r="F1021" s="254">
        <v>26.740709671337424</v>
      </c>
      <c r="G1021" s="264">
        <v>579.64599999999996</v>
      </c>
      <c r="H1021" s="256" t="s">
        <v>186</v>
      </c>
      <c r="I1021" s="256" t="s">
        <v>244</v>
      </c>
      <c r="J1021" s="256" t="s">
        <v>97</v>
      </c>
      <c r="K1021" s="272" t="s">
        <v>201</v>
      </c>
      <c r="L1021" s="252" t="s">
        <v>154</v>
      </c>
      <c r="M1021" s="252"/>
      <c r="N1021" s="252"/>
      <c r="O1021" s="252"/>
    </row>
    <row r="1022" spans="1:15" hidden="1">
      <c r="A1022" s="276">
        <v>45810</v>
      </c>
      <c r="B1022" s="277" t="s">
        <v>1904</v>
      </c>
      <c r="C1022" s="252" t="s">
        <v>126</v>
      </c>
      <c r="D1022" s="253" t="s">
        <v>442</v>
      </c>
      <c r="E1022" s="254">
        <v>155200</v>
      </c>
      <c r="F1022" s="254">
        <v>276.67720939943786</v>
      </c>
      <c r="G1022" s="255">
        <v>560.94248000000005</v>
      </c>
      <c r="H1022" s="256" t="s">
        <v>147</v>
      </c>
      <c r="I1022" s="256" t="s">
        <v>128</v>
      </c>
      <c r="J1022" s="256" t="s">
        <v>97</v>
      </c>
      <c r="K1022" s="269" t="s">
        <v>1903</v>
      </c>
      <c r="L1022" s="278" t="s">
        <v>154</v>
      </c>
      <c r="M1022" s="252"/>
      <c r="N1022" s="252"/>
      <c r="O1022" s="252"/>
    </row>
    <row r="1023" spans="1:15" hidden="1">
      <c r="A1023" s="276">
        <v>45810</v>
      </c>
      <c r="B1023" s="277" t="s">
        <v>1525</v>
      </c>
      <c r="C1023" s="252" t="s">
        <v>122</v>
      </c>
      <c r="D1023" s="252" t="s">
        <v>116</v>
      </c>
      <c r="E1023" s="254">
        <v>150000</v>
      </c>
      <c r="F1023" s="254">
        <v>267.40709671337424</v>
      </c>
      <c r="G1023" s="264">
        <v>579.64599999999996</v>
      </c>
      <c r="H1023" s="256" t="s">
        <v>147</v>
      </c>
      <c r="I1023" s="256" t="s">
        <v>129</v>
      </c>
      <c r="J1023" s="256" t="s">
        <v>97</v>
      </c>
      <c r="K1023" s="272" t="s">
        <v>201</v>
      </c>
      <c r="L1023" s="252" t="s">
        <v>154</v>
      </c>
      <c r="M1023" s="252"/>
      <c r="N1023" s="252"/>
      <c r="O1023" s="252"/>
    </row>
    <row r="1024" spans="1:15" hidden="1">
      <c r="A1024" s="279">
        <v>45811</v>
      </c>
      <c r="B1024" s="252" t="s">
        <v>3776</v>
      </c>
      <c r="C1024" s="252" t="s">
        <v>173</v>
      </c>
      <c r="D1024" s="253" t="s">
        <v>442</v>
      </c>
      <c r="E1024" s="254">
        <v>28000</v>
      </c>
      <c r="F1024" s="254">
        <v>49.915991386496522</v>
      </c>
      <c r="G1024" s="264">
        <v>579.64599999999996</v>
      </c>
      <c r="H1024" s="256" t="s">
        <v>183</v>
      </c>
      <c r="I1024" s="256" t="s">
        <v>1968</v>
      </c>
      <c r="J1024" s="256" t="s">
        <v>97</v>
      </c>
      <c r="K1024" s="272" t="s">
        <v>201</v>
      </c>
      <c r="L1024" s="252" t="s">
        <v>154</v>
      </c>
      <c r="M1024" s="252"/>
      <c r="N1024" s="252"/>
      <c r="O1024" s="252"/>
    </row>
    <row r="1025" spans="1:15" hidden="1">
      <c r="A1025" s="276">
        <v>45811</v>
      </c>
      <c r="B1025" s="252" t="s">
        <v>1914</v>
      </c>
      <c r="C1025" s="259" t="s">
        <v>2087</v>
      </c>
      <c r="D1025" s="252" t="s">
        <v>117</v>
      </c>
      <c r="E1025" s="254">
        <v>5675</v>
      </c>
      <c r="F1025" s="254">
        <v>10.116901825655992</v>
      </c>
      <c r="G1025" s="264">
        <v>579.64599999999996</v>
      </c>
      <c r="H1025" s="256" t="s">
        <v>583</v>
      </c>
      <c r="I1025" s="256" t="s">
        <v>163</v>
      </c>
      <c r="J1025" s="256" t="s">
        <v>97</v>
      </c>
      <c r="K1025" s="272" t="s">
        <v>201</v>
      </c>
      <c r="L1025" s="252" t="s">
        <v>154</v>
      </c>
      <c r="M1025" s="252"/>
      <c r="N1025" s="252"/>
      <c r="O1025" s="252"/>
    </row>
    <row r="1026" spans="1:15" hidden="1">
      <c r="A1026" s="276">
        <v>45811</v>
      </c>
      <c r="B1026" s="252" t="s">
        <v>3777</v>
      </c>
      <c r="C1026" s="258" t="s">
        <v>176</v>
      </c>
      <c r="D1026" s="253" t="s">
        <v>442</v>
      </c>
      <c r="E1026" s="254">
        <v>45000</v>
      </c>
      <c r="F1026" s="254">
        <v>80.222129014012268</v>
      </c>
      <c r="G1026" s="264">
        <v>579.64599999999996</v>
      </c>
      <c r="H1026" s="256" t="s">
        <v>183</v>
      </c>
      <c r="I1026" s="256" t="s">
        <v>1969</v>
      </c>
      <c r="J1026" s="256" t="s">
        <v>97</v>
      </c>
      <c r="K1026" s="272" t="s">
        <v>201</v>
      </c>
      <c r="L1026" s="252" t="s">
        <v>154</v>
      </c>
      <c r="M1026" s="252"/>
      <c r="N1026" s="252"/>
      <c r="O1026" s="252"/>
    </row>
    <row r="1027" spans="1:15" hidden="1">
      <c r="A1027" s="276">
        <v>45811</v>
      </c>
      <c r="B1027" s="252" t="s">
        <v>3871</v>
      </c>
      <c r="C1027" s="258" t="s">
        <v>176</v>
      </c>
      <c r="D1027" s="253" t="s">
        <v>442</v>
      </c>
      <c r="E1027" s="254">
        <v>30000</v>
      </c>
      <c r="F1027" s="254">
        <v>53.481419342674847</v>
      </c>
      <c r="G1027" s="264">
        <v>579.64599999999996</v>
      </c>
      <c r="H1027" s="256" t="s">
        <v>174</v>
      </c>
      <c r="I1027" s="256" t="s">
        <v>242</v>
      </c>
      <c r="J1027" s="256" t="s">
        <v>97</v>
      </c>
      <c r="K1027" s="272" t="s">
        <v>201</v>
      </c>
      <c r="L1027" s="252" t="s">
        <v>154</v>
      </c>
      <c r="M1027" s="252"/>
      <c r="N1027" s="252"/>
      <c r="O1027" s="252"/>
    </row>
    <row r="1028" spans="1:15" hidden="1">
      <c r="A1028" s="276">
        <v>45811</v>
      </c>
      <c r="B1028" s="252" t="s">
        <v>3872</v>
      </c>
      <c r="C1028" s="252" t="s">
        <v>173</v>
      </c>
      <c r="D1028" s="253" t="s">
        <v>442</v>
      </c>
      <c r="E1028" s="254">
        <v>28000</v>
      </c>
      <c r="F1028" s="254">
        <v>49.915991386496522</v>
      </c>
      <c r="G1028" s="264">
        <v>579.64599999999996</v>
      </c>
      <c r="H1028" s="256" t="s">
        <v>174</v>
      </c>
      <c r="I1028" s="256" t="s">
        <v>284</v>
      </c>
      <c r="J1028" s="256" t="s">
        <v>97</v>
      </c>
      <c r="K1028" s="272" t="s">
        <v>201</v>
      </c>
      <c r="L1028" s="252" t="s">
        <v>154</v>
      </c>
      <c r="M1028" s="252"/>
      <c r="N1028" s="252"/>
      <c r="O1028" s="252"/>
    </row>
    <row r="1029" spans="1:15" hidden="1">
      <c r="A1029" s="276">
        <v>45811</v>
      </c>
      <c r="B1029" s="252" t="s">
        <v>1981</v>
      </c>
      <c r="C1029" s="252" t="s">
        <v>365</v>
      </c>
      <c r="D1029" s="253" t="s">
        <v>442</v>
      </c>
      <c r="E1029" s="254">
        <v>1500</v>
      </c>
      <c r="F1029" s="254">
        <v>2.6740709671337424</v>
      </c>
      <c r="G1029" s="264">
        <v>579.64599999999996</v>
      </c>
      <c r="H1029" s="256" t="s">
        <v>316</v>
      </c>
      <c r="I1029" s="256" t="s">
        <v>317</v>
      </c>
      <c r="J1029" s="256" t="s">
        <v>97</v>
      </c>
      <c r="K1029" s="272" t="s">
        <v>201</v>
      </c>
      <c r="L1029" s="252" t="s">
        <v>154</v>
      </c>
      <c r="M1029" s="252"/>
      <c r="N1029" s="252"/>
      <c r="O1029" s="252"/>
    </row>
    <row r="1030" spans="1:15" hidden="1">
      <c r="A1030" s="276">
        <v>45811</v>
      </c>
      <c r="B1030" s="252" t="s">
        <v>2005</v>
      </c>
      <c r="C1030" s="252" t="s">
        <v>173</v>
      </c>
      <c r="D1030" s="252" t="s">
        <v>116</v>
      </c>
      <c r="E1030" s="254">
        <v>20000</v>
      </c>
      <c r="F1030" s="254">
        <v>35.654279561783227</v>
      </c>
      <c r="G1030" s="264">
        <v>579.64599999999996</v>
      </c>
      <c r="H1030" s="256" t="s">
        <v>192</v>
      </c>
      <c r="I1030" s="256" t="s">
        <v>159</v>
      </c>
      <c r="J1030" s="256" t="s">
        <v>97</v>
      </c>
      <c r="K1030" s="272" t="s">
        <v>201</v>
      </c>
      <c r="L1030" s="252" t="s">
        <v>154</v>
      </c>
      <c r="M1030" s="252"/>
      <c r="N1030" s="252"/>
      <c r="O1030" s="252"/>
    </row>
    <row r="1031" spans="1:15" hidden="1">
      <c r="A1031" s="276">
        <v>45811</v>
      </c>
      <c r="B1031" s="252" t="s">
        <v>2006</v>
      </c>
      <c r="C1031" s="258" t="s">
        <v>176</v>
      </c>
      <c r="D1031" s="252" t="s">
        <v>116</v>
      </c>
      <c r="E1031" s="254">
        <v>50000</v>
      </c>
      <c r="F1031" s="254">
        <v>89.135698904458081</v>
      </c>
      <c r="G1031" s="264">
        <v>579.64599999999996</v>
      </c>
      <c r="H1031" s="256" t="s">
        <v>192</v>
      </c>
      <c r="I1031" s="256" t="s">
        <v>161</v>
      </c>
      <c r="J1031" s="256" t="s">
        <v>97</v>
      </c>
      <c r="K1031" s="272" t="s">
        <v>201</v>
      </c>
      <c r="L1031" s="252" t="s">
        <v>154</v>
      </c>
      <c r="M1031" s="252"/>
      <c r="N1031" s="252"/>
      <c r="O1031" s="252"/>
    </row>
    <row r="1032" spans="1:15" hidden="1">
      <c r="A1032" s="276">
        <v>45811</v>
      </c>
      <c r="B1032" s="252" t="s">
        <v>2007</v>
      </c>
      <c r="C1032" s="252" t="s">
        <v>173</v>
      </c>
      <c r="D1032" s="252" t="s">
        <v>116</v>
      </c>
      <c r="E1032" s="254">
        <v>7000</v>
      </c>
      <c r="F1032" s="254">
        <v>12.47899784662413</v>
      </c>
      <c r="G1032" s="264">
        <v>579.64599999999996</v>
      </c>
      <c r="H1032" s="256" t="s">
        <v>192</v>
      </c>
      <c r="I1032" s="256" t="s">
        <v>253</v>
      </c>
      <c r="J1032" s="256" t="s">
        <v>97</v>
      </c>
      <c r="K1032" s="272" t="s">
        <v>201</v>
      </c>
      <c r="L1032" s="252" t="s">
        <v>154</v>
      </c>
      <c r="M1032" s="252"/>
      <c r="N1032" s="252"/>
      <c r="O1032" s="252"/>
    </row>
    <row r="1033" spans="1:15" hidden="1">
      <c r="A1033" s="276">
        <v>45811</v>
      </c>
      <c r="B1033" s="252" t="s">
        <v>1093</v>
      </c>
      <c r="C1033" s="258" t="s">
        <v>1164</v>
      </c>
      <c r="D1033" s="252" t="s">
        <v>116</v>
      </c>
      <c r="E1033" s="254">
        <v>36250</v>
      </c>
      <c r="F1033" s="254">
        <v>64.6233817057321</v>
      </c>
      <c r="G1033" s="264">
        <v>579.64599999999996</v>
      </c>
      <c r="H1033" s="256" t="s">
        <v>196</v>
      </c>
      <c r="I1033" s="256" t="s">
        <v>197</v>
      </c>
      <c r="J1033" s="256" t="s">
        <v>97</v>
      </c>
      <c r="K1033" s="272" t="s">
        <v>201</v>
      </c>
      <c r="L1033" s="252" t="s">
        <v>154</v>
      </c>
      <c r="M1033" s="252"/>
      <c r="N1033" s="252"/>
      <c r="O1033" s="252"/>
    </row>
    <row r="1034" spans="1:15" hidden="1">
      <c r="A1034" s="276">
        <v>45811</v>
      </c>
      <c r="B1034" s="252" t="s">
        <v>2070</v>
      </c>
      <c r="C1034" s="252" t="s">
        <v>173</v>
      </c>
      <c r="D1034" s="252" t="s">
        <v>119</v>
      </c>
      <c r="E1034" s="254">
        <v>33000</v>
      </c>
      <c r="F1034" s="254">
        <v>58.829561276942329</v>
      </c>
      <c r="G1034" s="264">
        <v>579.64599999999996</v>
      </c>
      <c r="H1034" s="256" t="s">
        <v>212</v>
      </c>
      <c r="I1034" s="256" t="s">
        <v>213</v>
      </c>
      <c r="J1034" s="256" t="s">
        <v>97</v>
      </c>
      <c r="K1034" s="272" t="s">
        <v>201</v>
      </c>
      <c r="L1034" s="252" t="s">
        <v>154</v>
      </c>
      <c r="M1034" s="252"/>
      <c r="N1034" s="252"/>
      <c r="O1034" s="252"/>
    </row>
    <row r="1035" spans="1:15" hidden="1">
      <c r="A1035" s="276">
        <v>45811</v>
      </c>
      <c r="B1035" s="252" t="s">
        <v>2084</v>
      </c>
      <c r="C1035" s="258" t="s">
        <v>2089</v>
      </c>
      <c r="D1035" s="252" t="s">
        <v>119</v>
      </c>
      <c r="E1035" s="254">
        <v>162000</v>
      </c>
      <c r="F1035" s="254">
        <v>288.79966445044414</v>
      </c>
      <c r="G1035" s="264">
        <v>579.64599999999996</v>
      </c>
      <c r="H1035" s="256" t="s">
        <v>212</v>
      </c>
      <c r="I1035" s="256" t="s">
        <v>363</v>
      </c>
      <c r="J1035" s="256" t="s">
        <v>97</v>
      </c>
      <c r="K1035" s="272" t="s">
        <v>201</v>
      </c>
      <c r="L1035" s="252" t="s">
        <v>154</v>
      </c>
      <c r="M1035" s="252"/>
      <c r="N1035" s="252"/>
      <c r="O1035" s="252"/>
    </row>
    <row r="1036" spans="1:15" hidden="1">
      <c r="A1036" s="276">
        <v>45811</v>
      </c>
      <c r="B1036" s="252" t="s">
        <v>2036</v>
      </c>
      <c r="C1036" s="258" t="s">
        <v>176</v>
      </c>
      <c r="D1036" s="252" t="s">
        <v>116</v>
      </c>
      <c r="E1036" s="254">
        <v>15000</v>
      </c>
      <c r="F1036" s="254">
        <v>26.740709671337424</v>
      </c>
      <c r="G1036" s="264">
        <v>579.64599999999996</v>
      </c>
      <c r="H1036" s="256" t="s">
        <v>186</v>
      </c>
      <c r="I1036" s="256" t="s">
        <v>245</v>
      </c>
      <c r="J1036" s="256" t="s">
        <v>97</v>
      </c>
      <c r="K1036" s="272" t="s">
        <v>201</v>
      </c>
      <c r="L1036" s="252" t="s">
        <v>154</v>
      </c>
      <c r="M1036" s="252"/>
      <c r="N1036" s="252"/>
      <c r="O1036" s="252"/>
    </row>
    <row r="1037" spans="1:15" hidden="1">
      <c r="A1037" s="276">
        <v>45812</v>
      </c>
      <c r="B1037" s="252" t="s">
        <v>1952</v>
      </c>
      <c r="C1037" s="252" t="s">
        <v>126</v>
      </c>
      <c r="D1037" s="252" t="s">
        <v>118</v>
      </c>
      <c r="E1037" s="254">
        <v>174625</v>
      </c>
      <c r="F1037" s="254">
        <v>311.30642842381985</v>
      </c>
      <c r="G1037" s="255">
        <v>560.94248000000005</v>
      </c>
      <c r="H1037" s="256" t="s">
        <v>152</v>
      </c>
      <c r="I1037" s="256" t="s">
        <v>153</v>
      </c>
      <c r="J1037" s="256" t="s">
        <v>97</v>
      </c>
      <c r="K1037" s="269" t="s">
        <v>1903</v>
      </c>
      <c r="L1037" s="278" t="s">
        <v>154</v>
      </c>
      <c r="M1037" s="252"/>
      <c r="N1037" s="252"/>
      <c r="O1037" s="252"/>
    </row>
    <row r="1038" spans="1:15" hidden="1">
      <c r="A1038" s="276">
        <v>45812</v>
      </c>
      <c r="B1038" s="252" t="s">
        <v>1955</v>
      </c>
      <c r="C1038" s="258" t="s">
        <v>176</v>
      </c>
      <c r="D1038" s="252" t="s">
        <v>116</v>
      </c>
      <c r="E1038" s="254">
        <v>111000</v>
      </c>
      <c r="F1038" s="254">
        <v>197.88125156789692</v>
      </c>
      <c r="G1038" s="264">
        <v>579.64599999999996</v>
      </c>
      <c r="H1038" s="256" t="s">
        <v>199</v>
      </c>
      <c r="I1038" s="256" t="s">
        <v>215</v>
      </c>
      <c r="J1038" s="256" t="s">
        <v>97</v>
      </c>
      <c r="K1038" s="272" t="s">
        <v>201</v>
      </c>
      <c r="L1038" s="252" t="s">
        <v>154</v>
      </c>
      <c r="M1038" s="252"/>
      <c r="N1038" s="252"/>
      <c r="O1038" s="252"/>
    </row>
    <row r="1039" spans="1:15" hidden="1">
      <c r="A1039" s="276">
        <v>45812</v>
      </c>
      <c r="B1039" s="252" t="s">
        <v>1916</v>
      </c>
      <c r="C1039" s="258" t="s">
        <v>1164</v>
      </c>
      <c r="D1039" s="252" t="s">
        <v>117</v>
      </c>
      <c r="E1039" s="254">
        <v>79500</v>
      </c>
      <c r="F1039" s="254">
        <v>141.72576125808834</v>
      </c>
      <c r="G1039" s="264">
        <v>579.64599999999996</v>
      </c>
      <c r="H1039" s="256" t="s">
        <v>583</v>
      </c>
      <c r="I1039" s="256" t="s">
        <v>167</v>
      </c>
      <c r="J1039" s="256" t="s">
        <v>97</v>
      </c>
      <c r="K1039" s="272" t="s">
        <v>201</v>
      </c>
      <c r="L1039" s="252" t="s">
        <v>154</v>
      </c>
      <c r="M1039" s="252"/>
      <c r="N1039" s="252"/>
      <c r="O1039" s="252"/>
    </row>
    <row r="1040" spans="1:15" hidden="1">
      <c r="A1040" s="276">
        <v>45812</v>
      </c>
      <c r="B1040" s="252" t="s">
        <v>1915</v>
      </c>
      <c r="C1040" s="259" t="s">
        <v>2087</v>
      </c>
      <c r="D1040" s="252" t="s">
        <v>117</v>
      </c>
      <c r="E1040" s="254">
        <v>15500</v>
      </c>
      <c r="F1040" s="254">
        <v>27.632066660382005</v>
      </c>
      <c r="G1040" s="264">
        <v>579.64599999999996</v>
      </c>
      <c r="H1040" s="256" t="s">
        <v>189</v>
      </c>
      <c r="I1040" s="256" t="s">
        <v>165</v>
      </c>
      <c r="J1040" s="256" t="s">
        <v>97</v>
      </c>
      <c r="K1040" s="272" t="s">
        <v>201</v>
      </c>
      <c r="L1040" s="252" t="s">
        <v>154</v>
      </c>
      <c r="M1040" s="252"/>
      <c r="N1040" s="252"/>
      <c r="O1040" s="252"/>
    </row>
    <row r="1041" spans="1:15" hidden="1">
      <c r="A1041" s="276">
        <v>45812</v>
      </c>
      <c r="B1041" s="252" t="s">
        <v>2008</v>
      </c>
      <c r="C1041" s="258" t="s">
        <v>176</v>
      </c>
      <c r="D1041" s="252" t="s">
        <v>116</v>
      </c>
      <c r="E1041" s="254">
        <v>20000</v>
      </c>
      <c r="F1041" s="254">
        <v>35.654279561783227</v>
      </c>
      <c r="G1041" s="264">
        <v>579.64599999999996</v>
      </c>
      <c r="H1041" s="256" t="s">
        <v>192</v>
      </c>
      <c r="I1041" s="256" t="s">
        <v>273</v>
      </c>
      <c r="J1041" s="256" t="s">
        <v>97</v>
      </c>
      <c r="K1041" s="272" t="s">
        <v>201</v>
      </c>
      <c r="L1041" s="252" t="s">
        <v>154</v>
      </c>
      <c r="M1041" s="252"/>
      <c r="N1041" s="252"/>
      <c r="O1041" s="252"/>
    </row>
    <row r="1042" spans="1:15" hidden="1">
      <c r="A1042" s="276">
        <v>45812</v>
      </c>
      <c r="B1042" s="252" t="s">
        <v>2044</v>
      </c>
      <c r="C1042" s="258" t="s">
        <v>176</v>
      </c>
      <c r="D1042" s="252" t="s">
        <v>116</v>
      </c>
      <c r="E1042" s="254">
        <v>111000</v>
      </c>
      <c r="F1042" s="254">
        <v>197.88125156789692</v>
      </c>
      <c r="G1042" s="264">
        <v>579.64599999999996</v>
      </c>
      <c r="H1042" s="256" t="s">
        <v>196</v>
      </c>
      <c r="I1042" s="256" t="s">
        <v>210</v>
      </c>
      <c r="J1042" s="256" t="s">
        <v>97</v>
      </c>
      <c r="K1042" s="272" t="s">
        <v>201</v>
      </c>
      <c r="L1042" s="252" t="s">
        <v>154</v>
      </c>
      <c r="M1042" s="252"/>
      <c r="N1042" s="252"/>
      <c r="O1042" s="252"/>
    </row>
    <row r="1043" spans="1:15" hidden="1">
      <c r="A1043" s="276">
        <v>45812</v>
      </c>
      <c r="B1043" s="252" t="s">
        <v>2071</v>
      </c>
      <c r="C1043" s="258" t="s">
        <v>176</v>
      </c>
      <c r="D1043" s="252" t="s">
        <v>119</v>
      </c>
      <c r="E1043" s="254">
        <v>40000</v>
      </c>
      <c r="F1043" s="254">
        <v>71.308559123566454</v>
      </c>
      <c r="G1043" s="264">
        <v>579.64599999999996</v>
      </c>
      <c r="H1043" s="256" t="s">
        <v>212</v>
      </c>
      <c r="I1043" s="256" t="s">
        <v>220</v>
      </c>
      <c r="J1043" s="256" t="s">
        <v>97</v>
      </c>
      <c r="K1043" s="272" t="s">
        <v>201</v>
      </c>
      <c r="L1043" s="252" t="s">
        <v>154</v>
      </c>
      <c r="M1043" s="252"/>
      <c r="N1043" s="252"/>
      <c r="O1043" s="252"/>
    </row>
    <row r="1044" spans="1:15" hidden="1">
      <c r="A1044" s="276">
        <v>45812</v>
      </c>
      <c r="B1044" s="277" t="s">
        <v>1905</v>
      </c>
      <c r="C1044" s="258" t="s">
        <v>125</v>
      </c>
      <c r="D1044" s="252" t="s">
        <v>117</v>
      </c>
      <c r="E1044" s="254">
        <v>260000</v>
      </c>
      <c r="F1044" s="254">
        <v>463.50563430318198</v>
      </c>
      <c r="G1044" s="264">
        <v>579.64599999999996</v>
      </c>
      <c r="H1044" s="256" t="s">
        <v>147</v>
      </c>
      <c r="I1044" s="256" t="s">
        <v>131</v>
      </c>
      <c r="J1044" s="256" t="s">
        <v>97</v>
      </c>
      <c r="K1044" s="272" t="s">
        <v>201</v>
      </c>
      <c r="L1044" s="252" t="s">
        <v>154</v>
      </c>
      <c r="M1044" s="252"/>
      <c r="N1044" s="252"/>
      <c r="O1044" s="252"/>
    </row>
    <row r="1045" spans="1:15" hidden="1">
      <c r="A1045" s="276">
        <v>45813</v>
      </c>
      <c r="B1045" s="252" t="s">
        <v>1917</v>
      </c>
      <c r="C1045" s="252" t="s">
        <v>173</v>
      </c>
      <c r="D1045" s="252" t="s">
        <v>117</v>
      </c>
      <c r="E1045" s="254">
        <v>18000</v>
      </c>
      <c r="F1045" s="254">
        <v>32.088851605604908</v>
      </c>
      <c r="G1045" s="264">
        <v>579.64599999999996</v>
      </c>
      <c r="H1045" s="256" t="s">
        <v>583</v>
      </c>
      <c r="I1045" s="256" t="s">
        <v>169</v>
      </c>
      <c r="J1045" s="256" t="s">
        <v>97</v>
      </c>
      <c r="K1045" s="272" t="s">
        <v>201</v>
      </c>
      <c r="L1045" s="252" t="s">
        <v>154</v>
      </c>
      <c r="M1045" s="252"/>
      <c r="N1045" s="252"/>
      <c r="O1045" s="252"/>
    </row>
    <row r="1046" spans="1:15" hidden="1">
      <c r="A1046" s="276">
        <v>45813</v>
      </c>
      <c r="B1046" s="252" t="s">
        <v>1918</v>
      </c>
      <c r="C1046" s="258" t="s">
        <v>176</v>
      </c>
      <c r="D1046" s="252" t="s">
        <v>116</v>
      </c>
      <c r="E1046" s="254">
        <v>225000</v>
      </c>
      <c r="F1046" s="254">
        <v>401.11064507006137</v>
      </c>
      <c r="G1046" s="264">
        <v>579.64599999999996</v>
      </c>
      <c r="H1046" s="256" t="s">
        <v>583</v>
      </c>
      <c r="I1046" s="256" t="s">
        <v>172</v>
      </c>
      <c r="J1046" s="256" t="s">
        <v>97</v>
      </c>
      <c r="K1046" s="272" t="s">
        <v>201</v>
      </c>
      <c r="L1046" s="252" t="s">
        <v>154</v>
      </c>
      <c r="M1046" s="252"/>
      <c r="N1046" s="252"/>
      <c r="O1046" s="252"/>
    </row>
    <row r="1047" spans="1:15" hidden="1">
      <c r="A1047" s="276">
        <v>45813</v>
      </c>
      <c r="B1047" s="252" t="s">
        <v>1919</v>
      </c>
      <c r="C1047" s="259" t="s">
        <v>2087</v>
      </c>
      <c r="D1047" s="252" t="s">
        <v>116</v>
      </c>
      <c r="E1047" s="254">
        <v>5550</v>
      </c>
      <c r="F1047" s="254">
        <v>9.8940625783948466</v>
      </c>
      <c r="G1047" s="264">
        <v>579.64599999999996</v>
      </c>
      <c r="H1047" s="256" t="s">
        <v>583</v>
      </c>
      <c r="I1047" s="256" t="s">
        <v>182</v>
      </c>
      <c r="J1047" s="256" t="s">
        <v>97</v>
      </c>
      <c r="K1047" s="272" t="s">
        <v>201</v>
      </c>
      <c r="L1047" s="252" t="s">
        <v>154</v>
      </c>
      <c r="M1047" s="252"/>
      <c r="N1047" s="252"/>
      <c r="O1047" s="252"/>
    </row>
    <row r="1048" spans="1:15" hidden="1">
      <c r="A1048" s="276">
        <v>45813</v>
      </c>
      <c r="B1048" s="252" t="s">
        <v>1920</v>
      </c>
      <c r="C1048" s="259" t="s">
        <v>2087</v>
      </c>
      <c r="D1048" s="252" t="s">
        <v>117</v>
      </c>
      <c r="E1048" s="254">
        <v>875</v>
      </c>
      <c r="F1048" s="254">
        <v>1.5598747308280163</v>
      </c>
      <c r="G1048" s="264">
        <v>579.64599999999996</v>
      </c>
      <c r="H1048" s="256" t="s">
        <v>583</v>
      </c>
      <c r="I1048" s="256" t="s">
        <v>193</v>
      </c>
      <c r="J1048" s="256" t="s">
        <v>97</v>
      </c>
      <c r="K1048" s="272" t="s">
        <v>201</v>
      </c>
      <c r="L1048" s="252" t="s">
        <v>154</v>
      </c>
      <c r="M1048" s="252"/>
      <c r="N1048" s="252"/>
      <c r="O1048" s="252"/>
    </row>
    <row r="1049" spans="1:15" hidden="1">
      <c r="A1049" s="276">
        <v>45813</v>
      </c>
      <c r="B1049" s="252" t="s">
        <v>3762</v>
      </c>
      <c r="C1049" s="258" t="s">
        <v>176</v>
      </c>
      <c r="D1049" s="253" t="s">
        <v>442</v>
      </c>
      <c r="E1049" s="254">
        <v>30000</v>
      </c>
      <c r="F1049" s="254">
        <v>53.481419342674847</v>
      </c>
      <c r="G1049" s="264">
        <v>579.64599999999996</v>
      </c>
      <c r="H1049" s="256" t="s">
        <v>183</v>
      </c>
      <c r="I1049" s="256" t="s">
        <v>1970</v>
      </c>
      <c r="J1049" s="256" t="s">
        <v>97</v>
      </c>
      <c r="K1049" s="272" t="s">
        <v>201</v>
      </c>
      <c r="L1049" s="252" t="s">
        <v>154</v>
      </c>
      <c r="M1049" s="252"/>
      <c r="N1049" s="252"/>
      <c r="O1049" s="252"/>
    </row>
    <row r="1050" spans="1:15" hidden="1">
      <c r="A1050" s="276">
        <v>45813</v>
      </c>
      <c r="B1050" s="252" t="s">
        <v>3871</v>
      </c>
      <c r="C1050" s="258" t="s">
        <v>176</v>
      </c>
      <c r="D1050" s="253" t="s">
        <v>442</v>
      </c>
      <c r="E1050" s="254">
        <v>30000</v>
      </c>
      <c r="F1050" s="254">
        <v>53.481419342674847</v>
      </c>
      <c r="G1050" s="264">
        <v>579.64599999999996</v>
      </c>
      <c r="H1050" s="256" t="s">
        <v>174</v>
      </c>
      <c r="I1050" s="256" t="s">
        <v>285</v>
      </c>
      <c r="J1050" s="256" t="s">
        <v>97</v>
      </c>
      <c r="K1050" s="272" t="s">
        <v>201</v>
      </c>
      <c r="L1050" s="252" t="s">
        <v>154</v>
      </c>
      <c r="M1050" s="252"/>
      <c r="N1050" s="252"/>
      <c r="O1050" s="252"/>
    </row>
    <row r="1051" spans="1:15" hidden="1">
      <c r="A1051" s="276">
        <v>45813</v>
      </c>
      <c r="B1051" s="252" t="s">
        <v>2010</v>
      </c>
      <c r="C1051" s="252" t="s">
        <v>1375</v>
      </c>
      <c r="D1051" s="252" t="s">
        <v>116</v>
      </c>
      <c r="E1051" s="254">
        <v>25000</v>
      </c>
      <c r="F1051" s="254">
        <v>44.567849452229041</v>
      </c>
      <c r="G1051" s="264">
        <v>579.64599999999996</v>
      </c>
      <c r="H1051" s="256" t="s">
        <v>192</v>
      </c>
      <c r="I1051" s="256" t="s">
        <v>296</v>
      </c>
      <c r="J1051" s="256" t="s">
        <v>97</v>
      </c>
      <c r="K1051" s="272" t="s">
        <v>201</v>
      </c>
      <c r="L1051" s="252" t="s">
        <v>154</v>
      </c>
      <c r="M1051" s="252"/>
      <c r="N1051" s="252"/>
      <c r="O1051" s="252"/>
    </row>
    <row r="1052" spans="1:15" hidden="1">
      <c r="A1052" s="276">
        <v>45813</v>
      </c>
      <c r="B1052" s="277" t="s">
        <v>1906</v>
      </c>
      <c r="C1052" s="258" t="s">
        <v>125</v>
      </c>
      <c r="D1052" s="252" t="s">
        <v>117</v>
      </c>
      <c r="E1052" s="254">
        <v>500000</v>
      </c>
      <c r="F1052" s="254">
        <v>891.3569890445807</v>
      </c>
      <c r="G1052" s="264">
        <v>579.64599999999996</v>
      </c>
      <c r="H1052" s="256" t="s">
        <v>147</v>
      </c>
      <c r="I1052" s="256" t="s">
        <v>132</v>
      </c>
      <c r="J1052" s="256" t="s">
        <v>97</v>
      </c>
      <c r="K1052" s="272" t="s">
        <v>201</v>
      </c>
      <c r="L1052" s="252" t="s">
        <v>154</v>
      </c>
      <c r="M1052" s="252"/>
      <c r="N1052" s="252"/>
      <c r="O1052" s="252"/>
    </row>
    <row r="1053" spans="1:15" hidden="1">
      <c r="A1053" s="276">
        <v>45814</v>
      </c>
      <c r="B1053" s="252" t="s">
        <v>2009</v>
      </c>
      <c r="C1053" s="252" t="s">
        <v>173</v>
      </c>
      <c r="D1053" s="252" t="s">
        <v>116</v>
      </c>
      <c r="E1053" s="254">
        <v>7000</v>
      </c>
      <c r="F1053" s="254">
        <v>12.47899784662413</v>
      </c>
      <c r="G1053" s="264">
        <v>579.64599999999996</v>
      </c>
      <c r="H1053" s="256" t="s">
        <v>192</v>
      </c>
      <c r="I1053" s="256" t="s">
        <v>291</v>
      </c>
      <c r="J1053" s="256" t="s">
        <v>97</v>
      </c>
      <c r="K1053" s="272" t="s">
        <v>201</v>
      </c>
      <c r="L1053" s="252" t="s">
        <v>154</v>
      </c>
      <c r="M1053" s="252"/>
      <c r="N1053" s="252"/>
      <c r="O1053" s="252"/>
    </row>
    <row r="1054" spans="1:15" hidden="1">
      <c r="A1054" s="276">
        <v>45814</v>
      </c>
      <c r="B1054" s="252" t="s">
        <v>818</v>
      </c>
      <c r="C1054" s="258" t="s">
        <v>1164</v>
      </c>
      <c r="D1054" s="252" t="s">
        <v>117</v>
      </c>
      <c r="E1054" s="254">
        <v>62500</v>
      </c>
      <c r="F1054" s="254">
        <v>111.41962363057259</v>
      </c>
      <c r="G1054" s="264">
        <v>579.64599999999996</v>
      </c>
      <c r="H1054" s="256" t="s">
        <v>174</v>
      </c>
      <c r="I1054" s="256" t="s">
        <v>208</v>
      </c>
      <c r="J1054" s="256" t="s">
        <v>97</v>
      </c>
      <c r="K1054" s="272" t="s">
        <v>201</v>
      </c>
      <c r="L1054" s="252" t="s">
        <v>154</v>
      </c>
      <c r="M1054" s="252"/>
      <c r="N1054" s="252"/>
      <c r="O1054" s="252"/>
    </row>
    <row r="1055" spans="1:15" hidden="1">
      <c r="A1055" s="276">
        <v>45814</v>
      </c>
      <c r="B1055" s="252" t="s">
        <v>1977</v>
      </c>
      <c r="C1055" s="252" t="s">
        <v>1506</v>
      </c>
      <c r="D1055" s="253" t="s">
        <v>989</v>
      </c>
      <c r="E1055" s="254">
        <v>50000</v>
      </c>
      <c r="F1055" s="254">
        <v>89.135698904458081</v>
      </c>
      <c r="G1055" s="264">
        <v>579.64599999999996</v>
      </c>
      <c r="H1055" s="256" t="s">
        <v>174</v>
      </c>
      <c r="I1055" s="256" t="s">
        <v>305</v>
      </c>
      <c r="J1055" s="256" t="s">
        <v>97</v>
      </c>
      <c r="K1055" s="272" t="s">
        <v>201</v>
      </c>
      <c r="L1055" s="252" t="s">
        <v>154</v>
      </c>
      <c r="M1055" s="252"/>
      <c r="N1055" s="252"/>
      <c r="O1055" s="252"/>
    </row>
    <row r="1056" spans="1:15" hidden="1">
      <c r="A1056" s="276">
        <v>45814</v>
      </c>
      <c r="B1056" s="252" t="s">
        <v>2011</v>
      </c>
      <c r="C1056" s="258" t="s">
        <v>176</v>
      </c>
      <c r="D1056" s="252" t="s">
        <v>116</v>
      </c>
      <c r="E1056" s="254">
        <v>30000</v>
      </c>
      <c r="F1056" s="254">
        <v>53.481419342674847</v>
      </c>
      <c r="G1056" s="264">
        <v>579.64599999999996</v>
      </c>
      <c r="H1056" s="256" t="s">
        <v>192</v>
      </c>
      <c r="I1056" s="256" t="s">
        <v>2012</v>
      </c>
      <c r="J1056" s="256" t="s">
        <v>97</v>
      </c>
      <c r="K1056" s="272" t="s">
        <v>201</v>
      </c>
      <c r="L1056" s="252" t="s">
        <v>154</v>
      </c>
      <c r="M1056" s="252"/>
      <c r="N1056" s="252"/>
      <c r="O1056" s="252"/>
    </row>
    <row r="1057" spans="1:15" hidden="1">
      <c r="A1057" s="276">
        <v>45814</v>
      </c>
      <c r="B1057" s="252" t="s">
        <v>2072</v>
      </c>
      <c r="C1057" s="258" t="s">
        <v>176</v>
      </c>
      <c r="D1057" s="252" t="s">
        <v>119</v>
      </c>
      <c r="E1057" s="254">
        <v>195000</v>
      </c>
      <c r="F1057" s="254">
        <v>347.62922572738648</v>
      </c>
      <c r="G1057" s="264">
        <v>579.64599999999996</v>
      </c>
      <c r="H1057" s="256" t="s">
        <v>212</v>
      </c>
      <c r="I1057" s="256" t="s">
        <v>262</v>
      </c>
      <c r="J1057" s="256" t="s">
        <v>97</v>
      </c>
      <c r="K1057" s="272" t="s">
        <v>201</v>
      </c>
      <c r="L1057" s="252" t="s">
        <v>154</v>
      </c>
      <c r="M1057" s="252"/>
      <c r="N1057" s="252"/>
      <c r="O1057" s="252"/>
    </row>
    <row r="1058" spans="1:15" hidden="1">
      <c r="A1058" s="276">
        <v>45814</v>
      </c>
      <c r="B1058" s="252" t="s">
        <v>2037</v>
      </c>
      <c r="C1058" s="252" t="s">
        <v>173</v>
      </c>
      <c r="D1058" s="252" t="s">
        <v>116</v>
      </c>
      <c r="E1058" s="254">
        <v>33000</v>
      </c>
      <c r="F1058" s="254">
        <v>58.829561276942329</v>
      </c>
      <c r="G1058" s="264">
        <v>579.64599999999996</v>
      </c>
      <c r="H1058" s="256" t="s">
        <v>186</v>
      </c>
      <c r="I1058" s="256" t="s">
        <v>247</v>
      </c>
      <c r="J1058" s="256" t="s">
        <v>97</v>
      </c>
      <c r="K1058" s="272" t="s">
        <v>201</v>
      </c>
      <c r="L1058" s="252" t="s">
        <v>154</v>
      </c>
      <c r="M1058" s="252"/>
      <c r="N1058" s="252"/>
      <c r="O1058" s="252"/>
    </row>
    <row r="1059" spans="1:15" hidden="1">
      <c r="A1059" s="276">
        <v>45814</v>
      </c>
      <c r="B1059" s="252" t="s">
        <v>2038</v>
      </c>
      <c r="C1059" s="258" t="s">
        <v>176</v>
      </c>
      <c r="D1059" s="252" t="s">
        <v>116</v>
      </c>
      <c r="E1059" s="254">
        <v>45000</v>
      </c>
      <c r="F1059" s="254">
        <v>80.222129014012268</v>
      </c>
      <c r="G1059" s="264">
        <v>579.64599999999996</v>
      </c>
      <c r="H1059" s="256" t="s">
        <v>186</v>
      </c>
      <c r="I1059" s="256" t="s">
        <v>310</v>
      </c>
      <c r="J1059" s="256" t="s">
        <v>97</v>
      </c>
      <c r="K1059" s="272" t="s">
        <v>201</v>
      </c>
      <c r="L1059" s="252" t="s">
        <v>154</v>
      </c>
      <c r="M1059" s="252"/>
      <c r="N1059" s="252"/>
      <c r="O1059" s="252"/>
    </row>
    <row r="1060" spans="1:15" hidden="1">
      <c r="A1060" s="276">
        <v>45814</v>
      </c>
      <c r="B1060" s="277" t="s">
        <v>1907</v>
      </c>
      <c r="C1060" s="252" t="s">
        <v>126</v>
      </c>
      <c r="D1060" s="253" t="s">
        <v>442</v>
      </c>
      <c r="E1060" s="254">
        <v>550000</v>
      </c>
      <c r="F1060" s="254">
        <v>980.49268794903878</v>
      </c>
      <c r="G1060" s="255">
        <v>560.94248000000005</v>
      </c>
      <c r="H1060" s="256" t="s">
        <v>147</v>
      </c>
      <c r="I1060" s="256" t="s">
        <v>133</v>
      </c>
      <c r="J1060" s="256" t="s">
        <v>97</v>
      </c>
      <c r="K1060" s="269" t="s">
        <v>1903</v>
      </c>
      <c r="L1060" s="278" t="s">
        <v>154</v>
      </c>
      <c r="M1060" s="252"/>
      <c r="N1060" s="252"/>
      <c r="O1060" s="252"/>
    </row>
    <row r="1061" spans="1:15" hidden="1">
      <c r="A1061" s="276">
        <v>45814</v>
      </c>
      <c r="B1061" s="277" t="s">
        <v>1908</v>
      </c>
      <c r="C1061" s="252" t="s">
        <v>126</v>
      </c>
      <c r="D1061" s="253" t="s">
        <v>442</v>
      </c>
      <c r="E1061" s="254">
        <v>355000</v>
      </c>
      <c r="F1061" s="254">
        <v>632.8634622216523</v>
      </c>
      <c r="G1061" s="255">
        <v>560.94248000000005</v>
      </c>
      <c r="H1061" s="256" t="s">
        <v>147</v>
      </c>
      <c r="I1061" s="256" t="s">
        <v>134</v>
      </c>
      <c r="J1061" s="256" t="s">
        <v>97</v>
      </c>
      <c r="K1061" s="269" t="s">
        <v>1903</v>
      </c>
      <c r="L1061" s="278" t="s">
        <v>154</v>
      </c>
      <c r="M1061" s="252"/>
      <c r="N1061" s="252"/>
      <c r="O1061" s="252"/>
    </row>
    <row r="1062" spans="1:15" hidden="1">
      <c r="A1062" s="276">
        <v>45815</v>
      </c>
      <c r="B1062" s="252" t="s">
        <v>2073</v>
      </c>
      <c r="C1062" s="258" t="s">
        <v>176</v>
      </c>
      <c r="D1062" s="252" t="s">
        <v>119</v>
      </c>
      <c r="E1062" s="254">
        <v>15000</v>
      </c>
      <c r="F1062" s="254">
        <v>26.740709671337424</v>
      </c>
      <c r="G1062" s="264">
        <v>579.64599999999996</v>
      </c>
      <c r="H1062" s="256" t="s">
        <v>212</v>
      </c>
      <c r="I1062" s="256" t="s">
        <v>275</v>
      </c>
      <c r="J1062" s="256" t="s">
        <v>97</v>
      </c>
      <c r="K1062" s="272" t="s">
        <v>201</v>
      </c>
      <c r="L1062" s="252" t="s">
        <v>154</v>
      </c>
      <c r="M1062" s="252"/>
      <c r="N1062" s="252"/>
      <c r="O1062" s="252"/>
    </row>
    <row r="1063" spans="1:15" hidden="1">
      <c r="A1063" s="276">
        <v>45815</v>
      </c>
      <c r="B1063" s="252" t="s">
        <v>2039</v>
      </c>
      <c r="C1063" s="258" t="s">
        <v>176</v>
      </c>
      <c r="D1063" s="252" t="s">
        <v>116</v>
      </c>
      <c r="E1063" s="254">
        <v>15000</v>
      </c>
      <c r="F1063" s="254">
        <v>26.740709671337424</v>
      </c>
      <c r="G1063" s="264">
        <v>579.64599999999996</v>
      </c>
      <c r="H1063" s="256" t="s">
        <v>186</v>
      </c>
      <c r="I1063" s="256" t="s">
        <v>2040</v>
      </c>
      <c r="J1063" s="256" t="s">
        <v>97</v>
      </c>
      <c r="K1063" s="272" t="s">
        <v>201</v>
      </c>
      <c r="L1063" s="252" t="s">
        <v>154</v>
      </c>
      <c r="M1063" s="252"/>
      <c r="N1063" s="252"/>
      <c r="O1063" s="252"/>
    </row>
    <row r="1064" spans="1:15" hidden="1">
      <c r="A1064" s="276">
        <v>45816</v>
      </c>
      <c r="B1064" s="252" t="s">
        <v>2074</v>
      </c>
      <c r="C1064" s="258" t="s">
        <v>176</v>
      </c>
      <c r="D1064" s="252" t="s">
        <v>119</v>
      </c>
      <c r="E1064" s="254">
        <v>15000</v>
      </c>
      <c r="F1064" s="254">
        <v>26.740709671337424</v>
      </c>
      <c r="G1064" s="264">
        <v>579.64599999999996</v>
      </c>
      <c r="H1064" s="256" t="s">
        <v>212</v>
      </c>
      <c r="I1064" s="256" t="s">
        <v>294</v>
      </c>
      <c r="J1064" s="256" t="s">
        <v>97</v>
      </c>
      <c r="K1064" s="272" t="s">
        <v>201</v>
      </c>
      <c r="L1064" s="252" t="s">
        <v>154</v>
      </c>
      <c r="M1064" s="252"/>
      <c r="N1064" s="252"/>
      <c r="O1064" s="252"/>
    </row>
    <row r="1065" spans="1:15" hidden="1">
      <c r="A1065" s="276">
        <v>45816</v>
      </c>
      <c r="B1065" s="252" t="s">
        <v>2041</v>
      </c>
      <c r="C1065" s="258" t="s">
        <v>176</v>
      </c>
      <c r="D1065" s="252" t="s">
        <v>116</v>
      </c>
      <c r="E1065" s="254">
        <v>15000</v>
      </c>
      <c r="F1065" s="254">
        <v>26.740709671337424</v>
      </c>
      <c r="G1065" s="264">
        <v>579.64599999999996</v>
      </c>
      <c r="H1065" s="256" t="s">
        <v>186</v>
      </c>
      <c r="I1065" s="256" t="s">
        <v>351</v>
      </c>
      <c r="J1065" s="256" t="s">
        <v>97</v>
      </c>
      <c r="K1065" s="272" t="s">
        <v>201</v>
      </c>
      <c r="L1065" s="252" t="s">
        <v>154</v>
      </c>
      <c r="M1065" s="252"/>
      <c r="N1065" s="252"/>
      <c r="O1065" s="252"/>
    </row>
    <row r="1066" spans="1:15" hidden="1">
      <c r="A1066" s="276">
        <v>45817</v>
      </c>
      <c r="B1066" s="252" t="s">
        <v>2007</v>
      </c>
      <c r="C1066" s="252" t="s">
        <v>173</v>
      </c>
      <c r="D1066" s="252" t="s">
        <v>116</v>
      </c>
      <c r="E1066" s="254">
        <v>7000</v>
      </c>
      <c r="F1066" s="254">
        <v>12.47899784662413</v>
      </c>
      <c r="G1066" s="264">
        <v>579.64599999999996</v>
      </c>
      <c r="H1066" s="256" t="s">
        <v>192</v>
      </c>
      <c r="I1066" s="256" t="s">
        <v>2013</v>
      </c>
      <c r="J1066" s="256" t="s">
        <v>97</v>
      </c>
      <c r="K1066" s="272" t="s">
        <v>201</v>
      </c>
      <c r="L1066" s="252" t="s">
        <v>154</v>
      </c>
      <c r="M1066" s="252"/>
      <c r="N1066" s="252"/>
      <c r="O1066" s="252"/>
    </row>
    <row r="1067" spans="1:15" hidden="1">
      <c r="A1067" s="276">
        <v>45817</v>
      </c>
      <c r="B1067" s="252" t="s">
        <v>2014</v>
      </c>
      <c r="C1067" s="252" t="s">
        <v>173</v>
      </c>
      <c r="D1067" s="252" t="s">
        <v>116</v>
      </c>
      <c r="E1067" s="254">
        <v>22000</v>
      </c>
      <c r="F1067" s="254">
        <v>39.219707517961552</v>
      </c>
      <c r="G1067" s="264">
        <v>579.64599999999996</v>
      </c>
      <c r="H1067" s="256" t="s">
        <v>192</v>
      </c>
      <c r="I1067" s="256" t="s">
        <v>216</v>
      </c>
      <c r="J1067" s="256" t="s">
        <v>97</v>
      </c>
      <c r="K1067" s="272" t="s">
        <v>201</v>
      </c>
      <c r="L1067" s="252" t="s">
        <v>154</v>
      </c>
      <c r="M1067" s="252"/>
      <c r="N1067" s="252"/>
      <c r="O1067" s="252"/>
    </row>
    <row r="1068" spans="1:15" hidden="1">
      <c r="A1068" s="276">
        <v>45817</v>
      </c>
      <c r="B1068" s="252" t="s">
        <v>2015</v>
      </c>
      <c r="C1068" s="258" t="s">
        <v>176</v>
      </c>
      <c r="D1068" s="252" t="s">
        <v>116</v>
      </c>
      <c r="E1068" s="254">
        <v>75000</v>
      </c>
      <c r="F1068" s="254">
        <v>133.70354835668712</v>
      </c>
      <c r="G1068" s="264">
        <v>579.64599999999996</v>
      </c>
      <c r="H1068" s="256" t="s">
        <v>192</v>
      </c>
      <c r="I1068" s="256" t="s">
        <v>218</v>
      </c>
      <c r="J1068" s="256" t="s">
        <v>97</v>
      </c>
      <c r="K1068" s="272" t="s">
        <v>201</v>
      </c>
      <c r="L1068" s="252" t="s">
        <v>154</v>
      </c>
      <c r="M1068" s="252"/>
      <c r="N1068" s="252"/>
      <c r="O1068" s="252"/>
    </row>
    <row r="1069" spans="1:15" hidden="1">
      <c r="A1069" s="276">
        <v>45818</v>
      </c>
      <c r="B1069" s="252" t="s">
        <v>1921</v>
      </c>
      <c r="C1069" s="252" t="s">
        <v>126</v>
      </c>
      <c r="D1069" s="252" t="s">
        <v>116</v>
      </c>
      <c r="E1069" s="254">
        <v>30000</v>
      </c>
      <c r="F1069" s="254">
        <v>53.481419342674847</v>
      </c>
      <c r="G1069" s="255">
        <v>560.94248000000005</v>
      </c>
      <c r="H1069" s="256" t="s">
        <v>189</v>
      </c>
      <c r="I1069" s="256" t="s">
        <v>371</v>
      </c>
      <c r="J1069" s="256" t="s">
        <v>97</v>
      </c>
      <c r="K1069" s="269" t="s">
        <v>1903</v>
      </c>
      <c r="L1069" s="278" t="s">
        <v>154</v>
      </c>
      <c r="M1069" s="252"/>
      <c r="N1069" s="252"/>
      <c r="O1069" s="252"/>
    </row>
    <row r="1070" spans="1:15" hidden="1">
      <c r="A1070" s="276">
        <v>45818</v>
      </c>
      <c r="B1070" s="252" t="s">
        <v>1987</v>
      </c>
      <c r="C1070" s="252" t="s">
        <v>173</v>
      </c>
      <c r="D1070" s="252" t="s">
        <v>116</v>
      </c>
      <c r="E1070" s="254">
        <v>8000</v>
      </c>
      <c r="F1070" s="254">
        <v>14.261711824713291</v>
      </c>
      <c r="G1070" s="264">
        <v>579.64599999999996</v>
      </c>
      <c r="H1070" s="256" t="s">
        <v>189</v>
      </c>
      <c r="I1070" s="256" t="s">
        <v>190</v>
      </c>
      <c r="J1070" s="256" t="s">
        <v>97</v>
      </c>
      <c r="K1070" s="272" t="s">
        <v>201</v>
      </c>
      <c r="L1070" s="252" t="s">
        <v>154</v>
      </c>
      <c r="M1070" s="252"/>
      <c r="N1070" s="252"/>
      <c r="O1070" s="252"/>
    </row>
    <row r="1071" spans="1:15" hidden="1">
      <c r="A1071" s="276">
        <v>45819</v>
      </c>
      <c r="B1071" s="252" t="s">
        <v>1988</v>
      </c>
      <c r="C1071" s="258" t="s">
        <v>176</v>
      </c>
      <c r="D1071" s="252" t="s">
        <v>116</v>
      </c>
      <c r="E1071" s="254">
        <v>30000</v>
      </c>
      <c r="F1071" s="254">
        <v>53.481419342674847</v>
      </c>
      <c r="G1071" s="264">
        <v>579.64599999999996</v>
      </c>
      <c r="H1071" s="256" t="s">
        <v>189</v>
      </c>
      <c r="I1071" s="256" t="s">
        <v>206</v>
      </c>
      <c r="J1071" s="256" t="s">
        <v>97</v>
      </c>
      <c r="K1071" s="272" t="s">
        <v>201</v>
      </c>
      <c r="L1071" s="252" t="s">
        <v>154</v>
      </c>
      <c r="M1071" s="252"/>
      <c r="N1071" s="252"/>
      <c r="O1071" s="252"/>
    </row>
    <row r="1072" spans="1:15" hidden="1">
      <c r="A1072" s="276">
        <v>45819</v>
      </c>
      <c r="B1072" s="252" t="s">
        <v>1989</v>
      </c>
      <c r="C1072" s="252" t="s">
        <v>173</v>
      </c>
      <c r="D1072" s="252" t="s">
        <v>116</v>
      </c>
      <c r="E1072" s="254">
        <v>4000</v>
      </c>
      <c r="F1072" s="254">
        <v>7.1308559123566457</v>
      </c>
      <c r="G1072" s="264">
        <v>579.64599999999996</v>
      </c>
      <c r="H1072" s="256" t="s">
        <v>189</v>
      </c>
      <c r="I1072" s="256" t="s">
        <v>249</v>
      </c>
      <c r="J1072" s="256" t="s">
        <v>97</v>
      </c>
      <c r="K1072" s="272" t="s">
        <v>201</v>
      </c>
      <c r="L1072" s="252" t="s">
        <v>154</v>
      </c>
      <c r="M1072" s="252"/>
      <c r="N1072" s="252"/>
      <c r="O1072" s="252"/>
    </row>
    <row r="1073" spans="1:15" hidden="1">
      <c r="A1073" s="276">
        <v>45819</v>
      </c>
      <c r="B1073" s="252" t="s">
        <v>2016</v>
      </c>
      <c r="C1073" s="258" t="s">
        <v>176</v>
      </c>
      <c r="D1073" s="252" t="s">
        <v>116</v>
      </c>
      <c r="E1073" s="254">
        <v>30000</v>
      </c>
      <c r="F1073" s="254">
        <v>53.481419342674847</v>
      </c>
      <c r="G1073" s="264">
        <v>579.64599999999996</v>
      </c>
      <c r="H1073" s="256" t="s">
        <v>192</v>
      </c>
      <c r="I1073" s="256" t="s">
        <v>289</v>
      </c>
      <c r="J1073" s="256" t="s">
        <v>97</v>
      </c>
      <c r="K1073" s="272" t="s">
        <v>201</v>
      </c>
      <c r="L1073" s="252" t="s">
        <v>154</v>
      </c>
      <c r="M1073" s="252"/>
      <c r="N1073" s="252"/>
      <c r="O1073" s="252"/>
    </row>
    <row r="1074" spans="1:15" hidden="1">
      <c r="A1074" s="276">
        <v>45819</v>
      </c>
      <c r="B1074" s="252" t="s">
        <v>1923</v>
      </c>
      <c r="C1074" s="252" t="s">
        <v>126</v>
      </c>
      <c r="D1074" s="252" t="s">
        <v>119</v>
      </c>
      <c r="E1074" s="254">
        <v>20000</v>
      </c>
      <c r="F1074" s="254">
        <v>35.654279561783227</v>
      </c>
      <c r="G1074" s="255">
        <v>560.94248000000005</v>
      </c>
      <c r="H1074" s="256" t="s">
        <v>212</v>
      </c>
      <c r="I1074" s="256" t="s">
        <v>373</v>
      </c>
      <c r="J1074" s="256" t="s">
        <v>97</v>
      </c>
      <c r="K1074" s="269" t="s">
        <v>1903</v>
      </c>
      <c r="L1074" s="278" t="s">
        <v>154</v>
      </c>
      <c r="M1074" s="252"/>
      <c r="N1074" s="252"/>
      <c r="O1074" s="252"/>
    </row>
    <row r="1075" spans="1:15" hidden="1">
      <c r="A1075" s="276">
        <v>45819</v>
      </c>
      <c r="B1075" s="252" t="s">
        <v>1924</v>
      </c>
      <c r="C1075" s="252" t="s">
        <v>264</v>
      </c>
      <c r="D1075" s="252" t="s">
        <v>2088</v>
      </c>
      <c r="E1075" s="254">
        <v>40000</v>
      </c>
      <c r="F1075" s="254">
        <v>71.308559123566454</v>
      </c>
      <c r="G1075" s="264">
        <v>579.64599999999996</v>
      </c>
      <c r="H1075" s="256" t="s">
        <v>212</v>
      </c>
      <c r="I1075" s="256" t="s">
        <v>419</v>
      </c>
      <c r="J1075" s="256" t="s">
        <v>97</v>
      </c>
      <c r="K1075" s="272" t="s">
        <v>201</v>
      </c>
      <c r="L1075" s="252" t="s">
        <v>154</v>
      </c>
      <c r="M1075" s="252"/>
      <c r="N1075" s="252"/>
      <c r="O1075" s="252"/>
    </row>
    <row r="1076" spans="1:15" hidden="1">
      <c r="A1076" s="276">
        <v>45819</v>
      </c>
      <c r="B1076" s="252" t="s">
        <v>2042</v>
      </c>
      <c r="C1076" s="252" t="s">
        <v>173</v>
      </c>
      <c r="D1076" s="252" t="s">
        <v>116</v>
      </c>
      <c r="E1076" s="254">
        <v>22500</v>
      </c>
      <c r="F1076" s="254">
        <v>40.111064507006134</v>
      </c>
      <c r="G1076" s="264">
        <v>579.64599999999996</v>
      </c>
      <c r="H1076" s="256" t="s">
        <v>186</v>
      </c>
      <c r="I1076" s="256" t="s">
        <v>313</v>
      </c>
      <c r="J1076" s="256" t="s">
        <v>97</v>
      </c>
      <c r="K1076" s="272" t="s">
        <v>201</v>
      </c>
      <c r="L1076" s="252" t="s">
        <v>154</v>
      </c>
      <c r="M1076" s="252"/>
      <c r="N1076" s="252"/>
      <c r="O1076" s="252"/>
    </row>
    <row r="1077" spans="1:15" hidden="1">
      <c r="A1077" s="276">
        <v>45819</v>
      </c>
      <c r="B1077" s="252" t="s">
        <v>1922</v>
      </c>
      <c r="C1077" s="259" t="s">
        <v>2087</v>
      </c>
      <c r="D1077" s="252" t="s">
        <v>117</v>
      </c>
      <c r="E1077" s="254">
        <v>9600</v>
      </c>
      <c r="F1077" s="254">
        <v>17.114054189655949</v>
      </c>
      <c r="G1077" s="264">
        <v>579.64599999999996</v>
      </c>
      <c r="H1077" s="256" t="s">
        <v>186</v>
      </c>
      <c r="I1077" s="256" t="s">
        <v>224</v>
      </c>
      <c r="J1077" s="256" t="s">
        <v>97</v>
      </c>
      <c r="K1077" s="272" t="s">
        <v>201</v>
      </c>
      <c r="L1077" s="252" t="s">
        <v>154</v>
      </c>
      <c r="M1077" s="252"/>
      <c r="N1077" s="252"/>
      <c r="O1077" s="252"/>
    </row>
    <row r="1078" spans="1:15" hidden="1">
      <c r="A1078" s="276">
        <v>45819</v>
      </c>
      <c r="B1078" s="252" t="s">
        <v>1925</v>
      </c>
      <c r="C1078" s="252" t="s">
        <v>126</v>
      </c>
      <c r="D1078" s="252" t="s">
        <v>116</v>
      </c>
      <c r="E1078" s="254">
        <v>30000</v>
      </c>
      <c r="F1078" s="254">
        <v>53.481419342674847</v>
      </c>
      <c r="G1078" s="255">
        <v>560.94248000000005</v>
      </c>
      <c r="H1078" s="256" t="s">
        <v>186</v>
      </c>
      <c r="I1078" s="256" t="s">
        <v>1926</v>
      </c>
      <c r="J1078" s="256" t="s">
        <v>97</v>
      </c>
      <c r="K1078" s="269" t="s">
        <v>1903</v>
      </c>
      <c r="L1078" s="278" t="s">
        <v>154</v>
      </c>
      <c r="M1078" s="252"/>
      <c r="N1078" s="252"/>
      <c r="O1078" s="252"/>
    </row>
    <row r="1079" spans="1:15" hidden="1">
      <c r="A1079" s="276">
        <v>45819</v>
      </c>
      <c r="B1079" s="252" t="s">
        <v>2043</v>
      </c>
      <c r="C1079" s="252" t="s">
        <v>126</v>
      </c>
      <c r="D1079" s="252" t="s">
        <v>116</v>
      </c>
      <c r="E1079" s="254">
        <v>127070</v>
      </c>
      <c r="F1079" s="254">
        <v>226.52946519578975</v>
      </c>
      <c r="G1079" s="255">
        <v>560.94248000000005</v>
      </c>
      <c r="H1079" s="256" t="s">
        <v>186</v>
      </c>
      <c r="I1079" s="256" t="s">
        <v>1927</v>
      </c>
      <c r="J1079" s="256" t="s">
        <v>97</v>
      </c>
      <c r="K1079" s="269" t="s">
        <v>1903</v>
      </c>
      <c r="L1079" s="278" t="s">
        <v>154</v>
      </c>
      <c r="M1079" s="252"/>
      <c r="N1079" s="252"/>
      <c r="O1079" s="252"/>
    </row>
    <row r="1080" spans="1:15" hidden="1">
      <c r="A1080" s="276">
        <v>45820</v>
      </c>
      <c r="B1080" s="252" t="s">
        <v>1928</v>
      </c>
      <c r="C1080" s="258" t="s">
        <v>1543</v>
      </c>
      <c r="D1080" s="252" t="s">
        <v>117</v>
      </c>
      <c r="E1080" s="254">
        <v>18000</v>
      </c>
      <c r="F1080" s="254">
        <v>32.088851605604908</v>
      </c>
      <c r="G1080" s="264">
        <v>579.64599999999996</v>
      </c>
      <c r="H1080" s="256" t="s">
        <v>583</v>
      </c>
      <c r="I1080" s="256" t="s">
        <v>226</v>
      </c>
      <c r="J1080" s="256" t="s">
        <v>97</v>
      </c>
      <c r="K1080" s="272" t="s">
        <v>201</v>
      </c>
      <c r="L1080" s="252" t="s">
        <v>154</v>
      </c>
      <c r="M1080" s="252"/>
      <c r="N1080" s="252"/>
      <c r="O1080" s="252"/>
    </row>
    <row r="1081" spans="1:15" hidden="1">
      <c r="A1081" s="276">
        <v>45820</v>
      </c>
      <c r="B1081" s="252" t="s">
        <v>1929</v>
      </c>
      <c r="C1081" s="252" t="s">
        <v>126</v>
      </c>
      <c r="D1081" s="252" t="s">
        <v>118</v>
      </c>
      <c r="E1081" s="254">
        <v>30000</v>
      </c>
      <c r="F1081" s="254">
        <v>53.481419342674847</v>
      </c>
      <c r="G1081" s="255">
        <v>560.94248000000005</v>
      </c>
      <c r="H1081" s="256" t="s">
        <v>583</v>
      </c>
      <c r="I1081" s="256" t="s">
        <v>1930</v>
      </c>
      <c r="J1081" s="256" t="s">
        <v>97</v>
      </c>
      <c r="K1081" s="269" t="s">
        <v>1903</v>
      </c>
      <c r="L1081" s="278" t="s">
        <v>154</v>
      </c>
      <c r="M1081" s="252"/>
      <c r="N1081" s="252"/>
      <c r="O1081" s="252"/>
    </row>
    <row r="1082" spans="1:15" hidden="1">
      <c r="A1082" s="276">
        <v>45820</v>
      </c>
      <c r="B1082" s="277" t="s">
        <v>1909</v>
      </c>
      <c r="C1082" s="252" t="s">
        <v>126</v>
      </c>
      <c r="D1082" s="252" t="s">
        <v>116</v>
      </c>
      <c r="E1082" s="254">
        <v>220293</v>
      </c>
      <c r="F1082" s="254">
        <v>392.71941037519565</v>
      </c>
      <c r="G1082" s="255">
        <v>560.94248000000005</v>
      </c>
      <c r="H1082" s="256" t="s">
        <v>147</v>
      </c>
      <c r="I1082" s="256" t="s">
        <v>135</v>
      </c>
      <c r="J1082" s="256" t="s">
        <v>97</v>
      </c>
      <c r="K1082" s="269" t="s">
        <v>1903</v>
      </c>
      <c r="L1082" s="278" t="s">
        <v>154</v>
      </c>
      <c r="M1082" s="252"/>
      <c r="N1082" s="252"/>
      <c r="O1082" s="252"/>
    </row>
    <row r="1083" spans="1:15" hidden="1">
      <c r="A1083" s="276">
        <v>45821</v>
      </c>
      <c r="B1083" s="252" t="s">
        <v>2045</v>
      </c>
      <c r="C1083" s="252" t="s">
        <v>195</v>
      </c>
      <c r="D1083" s="252" t="s">
        <v>116</v>
      </c>
      <c r="E1083" s="254">
        <v>33000</v>
      </c>
      <c r="F1083" s="254">
        <v>58.829561276942329</v>
      </c>
      <c r="G1083" s="264">
        <v>579.64599999999996</v>
      </c>
      <c r="H1083" s="256" t="s">
        <v>196</v>
      </c>
      <c r="I1083" s="256" t="s">
        <v>258</v>
      </c>
      <c r="J1083" s="256" t="s">
        <v>97</v>
      </c>
      <c r="K1083" s="272" t="s">
        <v>201</v>
      </c>
      <c r="L1083" s="252" t="s">
        <v>154</v>
      </c>
      <c r="M1083" s="252"/>
      <c r="N1083" s="252"/>
      <c r="O1083" s="252"/>
    </row>
    <row r="1084" spans="1:15" hidden="1">
      <c r="A1084" s="276">
        <v>45821</v>
      </c>
      <c r="B1084" s="252" t="s">
        <v>1956</v>
      </c>
      <c r="C1084" s="252" t="s">
        <v>173</v>
      </c>
      <c r="D1084" s="252" t="s">
        <v>116</v>
      </c>
      <c r="E1084" s="254">
        <v>33000</v>
      </c>
      <c r="F1084" s="254">
        <v>58.829561276942329</v>
      </c>
      <c r="G1084" s="264">
        <v>579.64599999999996</v>
      </c>
      <c r="H1084" s="256" t="s">
        <v>199</v>
      </c>
      <c r="I1084" s="256" t="s">
        <v>200</v>
      </c>
      <c r="J1084" s="256" t="s">
        <v>97</v>
      </c>
      <c r="K1084" s="272" t="s">
        <v>201</v>
      </c>
      <c r="L1084" s="252" t="s">
        <v>154</v>
      </c>
      <c r="M1084" s="252"/>
      <c r="N1084" s="252"/>
      <c r="O1084" s="252"/>
    </row>
    <row r="1085" spans="1:15" hidden="1">
      <c r="A1085" s="276">
        <v>45821</v>
      </c>
      <c r="B1085" s="252" t="s">
        <v>1957</v>
      </c>
      <c r="C1085" s="258" t="s">
        <v>176</v>
      </c>
      <c r="D1085" s="252" t="s">
        <v>116</v>
      </c>
      <c r="E1085" s="254">
        <v>255000</v>
      </c>
      <c r="F1085" s="254">
        <v>454.59206441273619</v>
      </c>
      <c r="G1085" s="264">
        <v>579.64599999999996</v>
      </c>
      <c r="H1085" s="256" t="s">
        <v>199</v>
      </c>
      <c r="I1085" s="256" t="s">
        <v>222</v>
      </c>
      <c r="J1085" s="256" t="s">
        <v>97</v>
      </c>
      <c r="K1085" s="272" t="s">
        <v>201</v>
      </c>
      <c r="L1085" s="252" t="s">
        <v>154</v>
      </c>
      <c r="M1085" s="252"/>
      <c r="N1085" s="252"/>
      <c r="O1085" s="252"/>
    </row>
    <row r="1086" spans="1:15" hidden="1">
      <c r="A1086" s="276">
        <v>45821</v>
      </c>
      <c r="B1086" s="252" t="s">
        <v>1931</v>
      </c>
      <c r="C1086" s="259" t="s">
        <v>2087</v>
      </c>
      <c r="D1086" s="252" t="s">
        <v>117</v>
      </c>
      <c r="E1086" s="254">
        <v>1600</v>
      </c>
      <c r="F1086" s="254">
        <v>2.8523423649426585</v>
      </c>
      <c r="G1086" s="264">
        <v>579.64599999999996</v>
      </c>
      <c r="H1086" s="256" t="s">
        <v>583</v>
      </c>
      <c r="I1086" s="256" t="s">
        <v>256</v>
      </c>
      <c r="J1086" s="256" t="s">
        <v>97</v>
      </c>
      <c r="K1086" s="272" t="s">
        <v>201</v>
      </c>
      <c r="L1086" s="252" t="s">
        <v>154</v>
      </c>
      <c r="M1086" s="252"/>
      <c r="N1086" s="252"/>
      <c r="O1086" s="252"/>
    </row>
    <row r="1087" spans="1:15" hidden="1">
      <c r="A1087" s="276">
        <v>45821</v>
      </c>
      <c r="B1087" s="252" t="s">
        <v>2046</v>
      </c>
      <c r="C1087" s="258" t="s">
        <v>176</v>
      </c>
      <c r="D1087" s="252" t="s">
        <v>116</v>
      </c>
      <c r="E1087" s="254">
        <v>420000</v>
      </c>
      <c r="F1087" s="254">
        <v>748.73987079744779</v>
      </c>
      <c r="G1087" s="264">
        <v>579.64599999999996</v>
      </c>
      <c r="H1087" s="256" t="s">
        <v>196</v>
      </c>
      <c r="I1087" s="256" t="s">
        <v>260</v>
      </c>
      <c r="J1087" s="256" t="s">
        <v>97</v>
      </c>
      <c r="K1087" s="272" t="s">
        <v>201</v>
      </c>
      <c r="L1087" s="252" t="s">
        <v>154</v>
      </c>
      <c r="M1087" s="252"/>
      <c r="N1087" s="252"/>
      <c r="O1087" s="252"/>
    </row>
    <row r="1088" spans="1:15" hidden="1">
      <c r="A1088" s="276">
        <v>45822</v>
      </c>
      <c r="B1088" s="252" t="s">
        <v>2009</v>
      </c>
      <c r="C1088" s="252" t="s">
        <v>173</v>
      </c>
      <c r="D1088" s="252" t="s">
        <v>116</v>
      </c>
      <c r="E1088" s="254">
        <v>7000</v>
      </c>
      <c r="F1088" s="254">
        <v>12.47899784662413</v>
      </c>
      <c r="G1088" s="264">
        <v>579.64599999999996</v>
      </c>
      <c r="H1088" s="256" t="s">
        <v>192</v>
      </c>
      <c r="I1088" s="256" t="s">
        <v>2017</v>
      </c>
      <c r="J1088" s="256" t="s">
        <v>97</v>
      </c>
      <c r="K1088" s="272" t="s">
        <v>201</v>
      </c>
      <c r="L1088" s="252" t="s">
        <v>154</v>
      </c>
      <c r="M1088" s="252"/>
      <c r="N1088" s="252"/>
      <c r="O1088" s="252"/>
    </row>
    <row r="1089" spans="1:15" hidden="1">
      <c r="A1089" s="276">
        <v>45822</v>
      </c>
      <c r="B1089" s="252" t="s">
        <v>1958</v>
      </c>
      <c r="C1089" s="258" t="s">
        <v>176</v>
      </c>
      <c r="D1089" s="252" t="s">
        <v>116</v>
      </c>
      <c r="E1089" s="254">
        <v>15000</v>
      </c>
      <c r="F1089" s="254">
        <v>26.740709671337424</v>
      </c>
      <c r="G1089" s="264">
        <v>579.64599999999996</v>
      </c>
      <c r="H1089" s="256" t="s">
        <v>199</v>
      </c>
      <c r="I1089" s="256" t="s">
        <v>228</v>
      </c>
      <c r="J1089" s="256" t="s">
        <v>97</v>
      </c>
      <c r="K1089" s="272" t="s">
        <v>201</v>
      </c>
      <c r="L1089" s="252" t="s">
        <v>154</v>
      </c>
      <c r="M1089" s="252"/>
      <c r="N1089" s="252"/>
      <c r="O1089" s="252"/>
    </row>
    <row r="1090" spans="1:15" hidden="1">
      <c r="A1090" s="276">
        <v>45822</v>
      </c>
      <c r="B1090" s="252" t="s">
        <v>1990</v>
      </c>
      <c r="C1090" s="258" t="s">
        <v>176</v>
      </c>
      <c r="D1090" s="252" t="s">
        <v>116</v>
      </c>
      <c r="E1090" s="254">
        <v>45000</v>
      </c>
      <c r="F1090" s="254">
        <v>80.222129014012268</v>
      </c>
      <c r="G1090" s="264">
        <v>579.64599999999996</v>
      </c>
      <c r="H1090" s="256" t="s">
        <v>189</v>
      </c>
      <c r="I1090" s="256" t="s">
        <v>251</v>
      </c>
      <c r="J1090" s="256" t="s">
        <v>97</v>
      </c>
      <c r="K1090" s="272" t="s">
        <v>201</v>
      </c>
      <c r="L1090" s="252" t="s">
        <v>154</v>
      </c>
      <c r="M1090" s="252"/>
      <c r="N1090" s="252"/>
      <c r="O1090" s="252"/>
    </row>
    <row r="1091" spans="1:15" hidden="1">
      <c r="A1091" s="276">
        <v>45822</v>
      </c>
      <c r="B1091" s="252" t="s">
        <v>1991</v>
      </c>
      <c r="C1091" s="252" t="s">
        <v>173</v>
      </c>
      <c r="D1091" s="252" t="s">
        <v>116</v>
      </c>
      <c r="E1091" s="254">
        <v>5000</v>
      </c>
      <c r="F1091" s="254">
        <v>8.9135698904458067</v>
      </c>
      <c r="G1091" s="264">
        <v>579.64599999999996</v>
      </c>
      <c r="H1091" s="256" t="s">
        <v>189</v>
      </c>
      <c r="I1091" s="256" t="s">
        <v>271</v>
      </c>
      <c r="J1091" s="256" t="s">
        <v>97</v>
      </c>
      <c r="K1091" s="272" t="s">
        <v>201</v>
      </c>
      <c r="L1091" s="252" t="s">
        <v>154</v>
      </c>
      <c r="M1091" s="252"/>
      <c r="N1091" s="252"/>
      <c r="O1091" s="252"/>
    </row>
    <row r="1092" spans="1:15" hidden="1">
      <c r="A1092" s="276">
        <v>45822</v>
      </c>
      <c r="B1092" s="252" t="s">
        <v>1992</v>
      </c>
      <c r="C1092" s="252" t="s">
        <v>173</v>
      </c>
      <c r="D1092" s="252" t="s">
        <v>116</v>
      </c>
      <c r="E1092" s="254">
        <v>7000</v>
      </c>
      <c r="F1092" s="254">
        <v>12.47899784662413</v>
      </c>
      <c r="G1092" s="264">
        <v>579.64599999999996</v>
      </c>
      <c r="H1092" s="256" t="s">
        <v>189</v>
      </c>
      <c r="I1092" s="256" t="s">
        <v>287</v>
      </c>
      <c r="J1092" s="256" t="s">
        <v>97</v>
      </c>
      <c r="K1092" s="272" t="s">
        <v>201</v>
      </c>
      <c r="L1092" s="252" t="s">
        <v>154</v>
      </c>
      <c r="M1092" s="252"/>
      <c r="N1092" s="252"/>
      <c r="O1092" s="252"/>
    </row>
    <row r="1093" spans="1:15" hidden="1">
      <c r="A1093" s="276">
        <v>45822</v>
      </c>
      <c r="B1093" s="252" t="s">
        <v>2018</v>
      </c>
      <c r="C1093" s="258" t="s">
        <v>176</v>
      </c>
      <c r="D1093" s="252" t="s">
        <v>116</v>
      </c>
      <c r="E1093" s="254">
        <v>45000</v>
      </c>
      <c r="F1093" s="254">
        <v>80.222129014012268</v>
      </c>
      <c r="G1093" s="264">
        <v>579.64599999999996</v>
      </c>
      <c r="H1093" s="256" t="s">
        <v>192</v>
      </c>
      <c r="I1093" s="256" t="s">
        <v>2019</v>
      </c>
      <c r="J1093" s="256" t="s">
        <v>97</v>
      </c>
      <c r="K1093" s="272" t="s">
        <v>201</v>
      </c>
      <c r="L1093" s="252" t="s">
        <v>154</v>
      </c>
      <c r="M1093" s="252"/>
      <c r="N1093" s="252"/>
      <c r="O1093" s="252"/>
    </row>
    <row r="1094" spans="1:15" hidden="1">
      <c r="A1094" s="276">
        <v>45822</v>
      </c>
      <c r="B1094" s="252" t="s">
        <v>2047</v>
      </c>
      <c r="C1094" s="258" t="s">
        <v>176</v>
      </c>
      <c r="D1094" s="252" t="s">
        <v>116</v>
      </c>
      <c r="E1094" s="254">
        <v>15000</v>
      </c>
      <c r="F1094" s="254">
        <v>26.740709671337424</v>
      </c>
      <c r="G1094" s="264">
        <v>579.64599999999996</v>
      </c>
      <c r="H1094" s="256" t="s">
        <v>196</v>
      </c>
      <c r="I1094" s="256" t="s">
        <v>292</v>
      </c>
      <c r="J1094" s="256" t="s">
        <v>97</v>
      </c>
      <c r="K1094" s="272" t="s">
        <v>201</v>
      </c>
      <c r="L1094" s="252" t="s">
        <v>154</v>
      </c>
      <c r="M1094" s="252"/>
      <c r="N1094" s="252"/>
      <c r="O1094" s="252"/>
    </row>
    <row r="1095" spans="1:15" hidden="1">
      <c r="A1095" s="276">
        <v>45823</v>
      </c>
      <c r="B1095" s="252" t="s">
        <v>1959</v>
      </c>
      <c r="C1095" s="258" t="s">
        <v>176</v>
      </c>
      <c r="D1095" s="252" t="s">
        <v>116</v>
      </c>
      <c r="E1095" s="254">
        <v>15000</v>
      </c>
      <c r="F1095" s="254">
        <v>26.740709671337424</v>
      </c>
      <c r="G1095" s="264">
        <v>579.64599999999996</v>
      </c>
      <c r="H1095" s="256" t="s">
        <v>199</v>
      </c>
      <c r="I1095" s="256" t="s">
        <v>265</v>
      </c>
      <c r="J1095" s="256" t="s">
        <v>97</v>
      </c>
      <c r="K1095" s="272" t="s">
        <v>201</v>
      </c>
      <c r="L1095" s="252" t="s">
        <v>154</v>
      </c>
      <c r="M1095" s="252"/>
      <c r="N1095" s="252"/>
      <c r="O1095" s="252"/>
    </row>
    <row r="1096" spans="1:15" hidden="1">
      <c r="A1096" s="276">
        <v>45823</v>
      </c>
      <c r="B1096" s="252" t="s">
        <v>2048</v>
      </c>
      <c r="C1096" s="258" t="s">
        <v>176</v>
      </c>
      <c r="D1096" s="252" t="s">
        <v>116</v>
      </c>
      <c r="E1096" s="254">
        <v>15000</v>
      </c>
      <c r="F1096" s="254">
        <v>26.740709671337424</v>
      </c>
      <c r="G1096" s="264">
        <v>579.64599999999996</v>
      </c>
      <c r="H1096" s="256" t="s">
        <v>196</v>
      </c>
      <c r="I1096" s="256" t="s">
        <v>298</v>
      </c>
      <c r="J1096" s="256" t="s">
        <v>97</v>
      </c>
      <c r="K1096" s="272" t="s">
        <v>201</v>
      </c>
      <c r="L1096" s="252" t="s">
        <v>154</v>
      </c>
      <c r="M1096" s="252"/>
      <c r="N1096" s="252"/>
      <c r="O1096" s="252"/>
    </row>
    <row r="1097" spans="1:15" hidden="1">
      <c r="A1097" s="276">
        <v>45824</v>
      </c>
      <c r="B1097" s="252" t="s">
        <v>1953</v>
      </c>
      <c r="C1097" s="252" t="s">
        <v>151</v>
      </c>
      <c r="D1097" s="252" t="s">
        <v>118</v>
      </c>
      <c r="E1097" s="254">
        <v>10000</v>
      </c>
      <c r="F1097" s="254">
        <v>17.827139780891613</v>
      </c>
      <c r="G1097" s="264">
        <v>579.64599999999996</v>
      </c>
      <c r="H1097" s="256" t="s">
        <v>152</v>
      </c>
      <c r="I1097" s="256" t="s">
        <v>179</v>
      </c>
      <c r="J1097" s="256" t="s">
        <v>97</v>
      </c>
      <c r="K1097" s="272" t="s">
        <v>201</v>
      </c>
      <c r="L1097" s="252" t="s">
        <v>154</v>
      </c>
      <c r="M1097" s="252"/>
      <c r="N1097" s="252"/>
      <c r="O1097" s="252"/>
    </row>
    <row r="1098" spans="1:15" hidden="1">
      <c r="A1098" s="276">
        <v>45824</v>
      </c>
      <c r="B1098" s="252" t="s">
        <v>1932</v>
      </c>
      <c r="C1098" s="252" t="s">
        <v>126</v>
      </c>
      <c r="D1098" s="252" t="s">
        <v>116</v>
      </c>
      <c r="E1098" s="254">
        <v>30000</v>
      </c>
      <c r="F1098" s="254">
        <v>53.481419342674847</v>
      </c>
      <c r="G1098" s="255">
        <v>560.94248000000005</v>
      </c>
      <c r="H1098" s="256" t="s">
        <v>199</v>
      </c>
      <c r="I1098" s="256" t="s">
        <v>1933</v>
      </c>
      <c r="J1098" s="256" t="s">
        <v>97</v>
      </c>
      <c r="K1098" s="269" t="s">
        <v>1903</v>
      </c>
      <c r="L1098" s="278" t="s">
        <v>154</v>
      </c>
      <c r="M1098" s="252"/>
      <c r="N1098" s="252"/>
      <c r="O1098" s="252"/>
    </row>
    <row r="1099" spans="1:15" hidden="1">
      <c r="A1099" s="276">
        <v>45824</v>
      </c>
      <c r="B1099" s="252" t="s">
        <v>1934</v>
      </c>
      <c r="C1099" s="252" t="s">
        <v>264</v>
      </c>
      <c r="D1099" s="252" t="s">
        <v>2088</v>
      </c>
      <c r="E1099" s="254">
        <v>50000</v>
      </c>
      <c r="F1099" s="254">
        <v>89.135698904458081</v>
      </c>
      <c r="G1099" s="264">
        <v>579.64599999999996</v>
      </c>
      <c r="H1099" s="256" t="s">
        <v>199</v>
      </c>
      <c r="I1099" s="256" t="s">
        <v>1935</v>
      </c>
      <c r="J1099" s="256" t="s">
        <v>97</v>
      </c>
      <c r="K1099" s="272" t="s">
        <v>201</v>
      </c>
      <c r="L1099" s="252" t="s">
        <v>154</v>
      </c>
      <c r="M1099" s="252"/>
      <c r="N1099" s="252"/>
      <c r="O1099" s="252"/>
    </row>
    <row r="1100" spans="1:15" hidden="1">
      <c r="A1100" s="276">
        <v>45824</v>
      </c>
      <c r="B1100" s="252" t="s">
        <v>1960</v>
      </c>
      <c r="C1100" s="252" t="s">
        <v>151</v>
      </c>
      <c r="D1100" s="252" t="s">
        <v>116</v>
      </c>
      <c r="E1100" s="254">
        <v>5000</v>
      </c>
      <c r="F1100" s="254">
        <v>8.9135698904458067</v>
      </c>
      <c r="G1100" s="264">
        <v>579.64599999999996</v>
      </c>
      <c r="H1100" s="256" t="s">
        <v>199</v>
      </c>
      <c r="I1100" s="256" t="s">
        <v>267</v>
      </c>
      <c r="J1100" s="256" t="s">
        <v>97</v>
      </c>
      <c r="K1100" s="272" t="s">
        <v>201</v>
      </c>
      <c r="L1100" s="252" t="s">
        <v>154</v>
      </c>
      <c r="M1100" s="252"/>
      <c r="N1100" s="252"/>
      <c r="O1100" s="252"/>
    </row>
    <row r="1101" spans="1:15" hidden="1">
      <c r="A1101" s="276">
        <v>45824</v>
      </c>
      <c r="B1101" s="252" t="s">
        <v>1961</v>
      </c>
      <c r="C1101" s="252" t="s">
        <v>151</v>
      </c>
      <c r="D1101" s="252" t="s">
        <v>116</v>
      </c>
      <c r="E1101" s="254">
        <v>5000</v>
      </c>
      <c r="F1101" s="254">
        <v>8.9135698904458067</v>
      </c>
      <c r="G1101" s="264">
        <v>579.64599999999996</v>
      </c>
      <c r="H1101" s="256" t="s">
        <v>199</v>
      </c>
      <c r="I1101" s="256" t="s">
        <v>336</v>
      </c>
      <c r="J1101" s="256" t="s">
        <v>97</v>
      </c>
      <c r="K1101" s="272" t="s">
        <v>201</v>
      </c>
      <c r="L1101" s="252" t="s">
        <v>154</v>
      </c>
      <c r="M1101" s="252"/>
      <c r="N1101" s="252"/>
      <c r="O1101" s="252"/>
    </row>
    <row r="1102" spans="1:15" hidden="1">
      <c r="A1102" s="276">
        <v>45824</v>
      </c>
      <c r="B1102" s="252" t="s">
        <v>1963</v>
      </c>
      <c r="C1102" s="252" t="s">
        <v>151</v>
      </c>
      <c r="D1102" s="252" t="s">
        <v>118</v>
      </c>
      <c r="E1102" s="254">
        <v>10000</v>
      </c>
      <c r="F1102" s="254">
        <v>17.827139780891613</v>
      </c>
      <c r="G1102" s="264">
        <v>579.64599999999996</v>
      </c>
      <c r="H1102" s="256" t="s">
        <v>583</v>
      </c>
      <c r="I1102" s="256" t="s">
        <v>1964</v>
      </c>
      <c r="J1102" s="256" t="s">
        <v>97</v>
      </c>
      <c r="K1102" s="272" t="s">
        <v>201</v>
      </c>
      <c r="L1102" s="252" t="s">
        <v>154</v>
      </c>
      <c r="M1102" s="252"/>
      <c r="N1102" s="252"/>
      <c r="O1102" s="252"/>
    </row>
    <row r="1103" spans="1:15" hidden="1">
      <c r="A1103" s="276">
        <v>45824</v>
      </c>
      <c r="B1103" s="252" t="s">
        <v>1971</v>
      </c>
      <c r="C1103" s="252" t="s">
        <v>151</v>
      </c>
      <c r="D1103" s="253" t="s">
        <v>442</v>
      </c>
      <c r="E1103" s="254">
        <v>10000</v>
      </c>
      <c r="F1103" s="254">
        <v>17.827139780891613</v>
      </c>
      <c r="G1103" s="264">
        <v>579.64599999999996</v>
      </c>
      <c r="H1103" s="256" t="s">
        <v>183</v>
      </c>
      <c r="I1103" s="256" t="s">
        <v>1972</v>
      </c>
      <c r="J1103" s="256" t="s">
        <v>97</v>
      </c>
      <c r="K1103" s="272" t="s">
        <v>201</v>
      </c>
      <c r="L1103" s="252" t="s">
        <v>154</v>
      </c>
      <c r="M1103" s="252"/>
      <c r="N1103" s="252"/>
      <c r="O1103" s="252"/>
    </row>
    <row r="1104" spans="1:15" hidden="1">
      <c r="A1104" s="276">
        <v>45824</v>
      </c>
      <c r="B1104" s="252" t="s">
        <v>1973</v>
      </c>
      <c r="C1104" s="252" t="s">
        <v>151</v>
      </c>
      <c r="D1104" s="253" t="s">
        <v>442</v>
      </c>
      <c r="E1104" s="254">
        <v>5000</v>
      </c>
      <c r="F1104" s="254">
        <v>8.9135698904458067</v>
      </c>
      <c r="G1104" s="264">
        <v>579.64599999999996</v>
      </c>
      <c r="H1104" s="256" t="s">
        <v>183</v>
      </c>
      <c r="I1104" s="256" t="s">
        <v>1974</v>
      </c>
      <c r="J1104" s="256" t="s">
        <v>97</v>
      </c>
      <c r="K1104" s="272" t="s">
        <v>201</v>
      </c>
      <c r="L1104" s="252" t="s">
        <v>154</v>
      </c>
      <c r="M1104" s="252"/>
      <c r="N1104" s="252"/>
      <c r="O1104" s="252"/>
    </row>
    <row r="1105" spans="1:15" hidden="1">
      <c r="A1105" s="276">
        <v>45824</v>
      </c>
      <c r="B1105" s="252" t="s">
        <v>1978</v>
      </c>
      <c r="C1105" s="252" t="s">
        <v>151</v>
      </c>
      <c r="D1105" s="253" t="s">
        <v>442</v>
      </c>
      <c r="E1105" s="254">
        <v>15000</v>
      </c>
      <c r="F1105" s="254">
        <v>26.740709671337424</v>
      </c>
      <c r="G1105" s="264">
        <v>579.64599999999996</v>
      </c>
      <c r="H1105" s="256" t="s">
        <v>174</v>
      </c>
      <c r="I1105" s="256" t="s">
        <v>341</v>
      </c>
      <c r="J1105" s="256" t="s">
        <v>97</v>
      </c>
      <c r="K1105" s="272" t="s">
        <v>201</v>
      </c>
      <c r="L1105" s="252" t="s">
        <v>154</v>
      </c>
      <c r="M1105" s="252"/>
      <c r="N1105" s="252"/>
      <c r="O1105" s="252"/>
    </row>
    <row r="1106" spans="1:15" hidden="1">
      <c r="A1106" s="276">
        <v>45824</v>
      </c>
      <c r="B1106" s="252" t="s">
        <v>1982</v>
      </c>
      <c r="C1106" s="252" t="s">
        <v>151</v>
      </c>
      <c r="D1106" s="253" t="s">
        <v>442</v>
      </c>
      <c r="E1106" s="254">
        <v>15000</v>
      </c>
      <c r="F1106" s="254">
        <v>26.740709671337424</v>
      </c>
      <c r="G1106" s="264">
        <v>579.64599999999996</v>
      </c>
      <c r="H1106" s="256" t="s">
        <v>316</v>
      </c>
      <c r="I1106" s="256" t="s">
        <v>318</v>
      </c>
      <c r="J1106" s="256" t="s">
        <v>97</v>
      </c>
      <c r="K1106" s="272" t="s">
        <v>201</v>
      </c>
      <c r="L1106" s="252" t="s">
        <v>154</v>
      </c>
      <c r="M1106" s="252"/>
      <c r="N1106" s="252"/>
      <c r="O1106" s="252"/>
    </row>
    <row r="1107" spans="1:15" hidden="1">
      <c r="A1107" s="276">
        <v>45824</v>
      </c>
      <c r="B1107" s="252" t="s">
        <v>1984</v>
      </c>
      <c r="C1107" s="252" t="s">
        <v>151</v>
      </c>
      <c r="D1107" s="253" t="s">
        <v>442</v>
      </c>
      <c r="E1107" s="254">
        <v>5000</v>
      </c>
      <c r="F1107" s="254">
        <v>8.9135698904458067</v>
      </c>
      <c r="G1107" s="264">
        <v>579.64599999999996</v>
      </c>
      <c r="H1107" s="256" t="s">
        <v>322</v>
      </c>
      <c r="I1107" s="256" t="s">
        <v>323</v>
      </c>
      <c r="J1107" s="256" t="s">
        <v>97</v>
      </c>
      <c r="K1107" s="272" t="s">
        <v>201</v>
      </c>
      <c r="L1107" s="252" t="s">
        <v>154</v>
      </c>
      <c r="M1107" s="252"/>
      <c r="N1107" s="252"/>
      <c r="O1107" s="252"/>
    </row>
    <row r="1108" spans="1:15" hidden="1">
      <c r="A1108" s="276">
        <v>45824</v>
      </c>
      <c r="B1108" s="252" t="s">
        <v>1985</v>
      </c>
      <c r="C1108" s="252" t="s">
        <v>151</v>
      </c>
      <c r="D1108" s="253" t="s">
        <v>442</v>
      </c>
      <c r="E1108" s="254">
        <v>10000</v>
      </c>
      <c r="F1108" s="254">
        <v>17.827139780891613</v>
      </c>
      <c r="G1108" s="264">
        <v>579.64599999999996</v>
      </c>
      <c r="H1108" s="256" t="s">
        <v>322</v>
      </c>
      <c r="I1108" s="256" t="s">
        <v>343</v>
      </c>
      <c r="J1108" s="256" t="s">
        <v>97</v>
      </c>
      <c r="K1108" s="272" t="s">
        <v>201</v>
      </c>
      <c r="L1108" s="252" t="s">
        <v>154</v>
      </c>
      <c r="M1108" s="252"/>
      <c r="N1108" s="252"/>
      <c r="O1108" s="252"/>
    </row>
    <row r="1109" spans="1:15" hidden="1">
      <c r="A1109" s="276">
        <v>45824</v>
      </c>
      <c r="B1109" s="252" t="s">
        <v>1993</v>
      </c>
      <c r="C1109" s="252" t="s">
        <v>151</v>
      </c>
      <c r="D1109" s="252" t="s">
        <v>116</v>
      </c>
      <c r="E1109" s="254">
        <v>5000</v>
      </c>
      <c r="F1109" s="254">
        <v>8.9135698904458067</v>
      </c>
      <c r="G1109" s="264">
        <v>579.64599999999996</v>
      </c>
      <c r="H1109" s="256" t="s">
        <v>189</v>
      </c>
      <c r="I1109" s="256" t="s">
        <v>1994</v>
      </c>
      <c r="J1109" s="256" t="s">
        <v>97</v>
      </c>
      <c r="K1109" s="272" t="s">
        <v>201</v>
      </c>
      <c r="L1109" s="252" t="s">
        <v>154</v>
      </c>
      <c r="M1109" s="252"/>
      <c r="N1109" s="252"/>
      <c r="O1109" s="252"/>
    </row>
    <row r="1110" spans="1:15" hidden="1">
      <c r="A1110" s="276">
        <v>45824</v>
      </c>
      <c r="B1110" s="252" t="s">
        <v>1995</v>
      </c>
      <c r="C1110" s="252" t="s">
        <v>151</v>
      </c>
      <c r="D1110" s="252" t="s">
        <v>116</v>
      </c>
      <c r="E1110" s="254">
        <v>5000</v>
      </c>
      <c r="F1110" s="254">
        <v>8.9135698904458067</v>
      </c>
      <c r="G1110" s="264">
        <v>579.64599999999996</v>
      </c>
      <c r="H1110" s="256" t="s">
        <v>189</v>
      </c>
      <c r="I1110" s="256" t="s">
        <v>1996</v>
      </c>
      <c r="J1110" s="256" t="s">
        <v>97</v>
      </c>
      <c r="K1110" s="272" t="s">
        <v>201</v>
      </c>
      <c r="L1110" s="252" t="s">
        <v>154</v>
      </c>
      <c r="M1110" s="252"/>
      <c r="N1110" s="252"/>
      <c r="O1110" s="252"/>
    </row>
    <row r="1111" spans="1:15" hidden="1">
      <c r="A1111" s="276">
        <v>45824</v>
      </c>
      <c r="B1111" s="252" t="s">
        <v>2020</v>
      </c>
      <c r="C1111" s="252" t="s">
        <v>151</v>
      </c>
      <c r="D1111" s="252" t="s">
        <v>116</v>
      </c>
      <c r="E1111" s="254">
        <v>10000</v>
      </c>
      <c r="F1111" s="254">
        <v>17.827139780891613</v>
      </c>
      <c r="G1111" s="264">
        <v>579.64599999999996</v>
      </c>
      <c r="H1111" s="256" t="s">
        <v>192</v>
      </c>
      <c r="I1111" s="256" t="s">
        <v>2021</v>
      </c>
      <c r="J1111" s="256" t="s">
        <v>97</v>
      </c>
      <c r="K1111" s="272" t="s">
        <v>201</v>
      </c>
      <c r="L1111" s="252" t="s">
        <v>154</v>
      </c>
      <c r="M1111" s="252"/>
      <c r="N1111" s="252"/>
      <c r="O1111" s="252"/>
    </row>
    <row r="1112" spans="1:15" hidden="1">
      <c r="A1112" s="276">
        <v>45824</v>
      </c>
      <c r="B1112" s="252" t="s">
        <v>1940</v>
      </c>
      <c r="C1112" s="252" t="s">
        <v>126</v>
      </c>
      <c r="D1112" s="252" t="s">
        <v>116</v>
      </c>
      <c r="E1112" s="254">
        <v>30000</v>
      </c>
      <c r="F1112" s="254">
        <v>53.481419342674847</v>
      </c>
      <c r="G1112" s="255">
        <v>560.94248000000005</v>
      </c>
      <c r="H1112" s="256" t="s">
        <v>192</v>
      </c>
      <c r="I1112" s="256" t="s">
        <v>1941</v>
      </c>
      <c r="J1112" s="256" t="s">
        <v>97</v>
      </c>
      <c r="K1112" s="269" t="s">
        <v>1903</v>
      </c>
      <c r="L1112" s="278" t="s">
        <v>154</v>
      </c>
      <c r="M1112" s="252"/>
      <c r="N1112" s="252"/>
      <c r="O1112" s="252"/>
    </row>
    <row r="1113" spans="1:15" hidden="1">
      <c r="A1113" s="276">
        <v>45824</v>
      </c>
      <c r="B1113" s="252" t="s">
        <v>2049</v>
      </c>
      <c r="C1113" s="252" t="s">
        <v>151</v>
      </c>
      <c r="D1113" s="252" t="s">
        <v>116</v>
      </c>
      <c r="E1113" s="254">
        <v>10000</v>
      </c>
      <c r="F1113" s="254">
        <v>17.827139780891613</v>
      </c>
      <c r="G1113" s="264">
        <v>579.64599999999996</v>
      </c>
      <c r="H1113" s="256" t="s">
        <v>196</v>
      </c>
      <c r="I1113" s="256" t="s">
        <v>2050</v>
      </c>
      <c r="J1113" s="256" t="s">
        <v>97</v>
      </c>
      <c r="K1113" s="272" t="s">
        <v>201</v>
      </c>
      <c r="L1113" s="252" t="s">
        <v>154</v>
      </c>
      <c r="M1113" s="252"/>
      <c r="N1113" s="252"/>
      <c r="O1113" s="252"/>
    </row>
    <row r="1114" spans="1:15" hidden="1">
      <c r="A1114" s="276">
        <v>45824</v>
      </c>
      <c r="B1114" s="252" t="s">
        <v>1936</v>
      </c>
      <c r="C1114" s="252" t="s">
        <v>126</v>
      </c>
      <c r="D1114" s="252" t="s">
        <v>116</v>
      </c>
      <c r="E1114" s="254">
        <v>30000</v>
      </c>
      <c r="F1114" s="254">
        <v>53.481419342674847</v>
      </c>
      <c r="G1114" s="255">
        <v>560.94248000000005</v>
      </c>
      <c r="H1114" s="256" t="s">
        <v>196</v>
      </c>
      <c r="I1114" s="256" t="s">
        <v>1937</v>
      </c>
      <c r="J1114" s="256" t="s">
        <v>97</v>
      </c>
      <c r="K1114" s="269" t="s">
        <v>1903</v>
      </c>
      <c r="L1114" s="278" t="s">
        <v>154</v>
      </c>
      <c r="M1114" s="252"/>
      <c r="N1114" s="252"/>
      <c r="O1114" s="252"/>
    </row>
    <row r="1115" spans="1:15" hidden="1">
      <c r="A1115" s="276">
        <v>45824</v>
      </c>
      <c r="B1115" s="252" t="s">
        <v>1938</v>
      </c>
      <c r="C1115" s="252" t="s">
        <v>264</v>
      </c>
      <c r="D1115" s="252" t="s">
        <v>2088</v>
      </c>
      <c r="E1115" s="254">
        <v>40000</v>
      </c>
      <c r="F1115" s="254">
        <v>71.308559123566454</v>
      </c>
      <c r="G1115" s="264">
        <v>579.64599999999996</v>
      </c>
      <c r="H1115" s="256" t="s">
        <v>196</v>
      </c>
      <c r="I1115" s="256" t="s">
        <v>1939</v>
      </c>
      <c r="J1115" s="256" t="s">
        <v>97</v>
      </c>
      <c r="K1115" s="272" t="s">
        <v>201</v>
      </c>
      <c r="L1115" s="252" t="s">
        <v>154</v>
      </c>
      <c r="M1115" s="252"/>
      <c r="N1115" s="252"/>
      <c r="O1115" s="252"/>
    </row>
    <row r="1116" spans="1:15" hidden="1">
      <c r="A1116" s="276">
        <v>45824</v>
      </c>
      <c r="B1116" s="252" t="s">
        <v>2075</v>
      </c>
      <c r="C1116" s="252" t="s">
        <v>151</v>
      </c>
      <c r="D1116" s="252" t="s">
        <v>119</v>
      </c>
      <c r="E1116" s="254">
        <v>10000</v>
      </c>
      <c r="F1116" s="254">
        <v>17.827139780891613</v>
      </c>
      <c r="G1116" s="264">
        <v>579.64599999999996</v>
      </c>
      <c r="H1116" s="256" t="s">
        <v>212</v>
      </c>
      <c r="I1116" s="256" t="s">
        <v>2076</v>
      </c>
      <c r="J1116" s="256" t="s">
        <v>97</v>
      </c>
      <c r="K1116" s="272" t="s">
        <v>201</v>
      </c>
      <c r="L1116" s="252" t="s">
        <v>154</v>
      </c>
      <c r="M1116" s="252"/>
      <c r="N1116" s="252"/>
      <c r="O1116" s="252"/>
    </row>
    <row r="1117" spans="1:15" hidden="1">
      <c r="A1117" s="276">
        <v>45824</v>
      </c>
      <c r="B1117" s="277" t="s">
        <v>1910</v>
      </c>
      <c r="C1117" s="252" t="s">
        <v>122</v>
      </c>
      <c r="D1117" s="252" t="s">
        <v>116</v>
      </c>
      <c r="E1117" s="254">
        <v>200000</v>
      </c>
      <c r="F1117" s="254">
        <v>356.54279561783233</v>
      </c>
      <c r="G1117" s="264">
        <v>579.64599999999996</v>
      </c>
      <c r="H1117" s="256" t="s">
        <v>147</v>
      </c>
      <c r="I1117" s="256" t="s">
        <v>136</v>
      </c>
      <c r="J1117" s="256" t="s">
        <v>97</v>
      </c>
      <c r="K1117" s="272" t="s">
        <v>201</v>
      </c>
      <c r="L1117" s="252" t="s">
        <v>154</v>
      </c>
      <c r="M1117" s="252"/>
      <c r="N1117" s="252"/>
      <c r="O1117" s="252"/>
    </row>
    <row r="1118" spans="1:15" hidden="1">
      <c r="A1118" s="276">
        <v>45824</v>
      </c>
      <c r="B1118" s="277" t="s">
        <v>1911</v>
      </c>
      <c r="C1118" s="252" t="s">
        <v>122</v>
      </c>
      <c r="D1118" s="252" t="s">
        <v>116</v>
      </c>
      <c r="E1118" s="254">
        <v>300000</v>
      </c>
      <c r="F1118" s="254">
        <v>534.81419342674849</v>
      </c>
      <c r="G1118" s="264">
        <v>579.64599999999996</v>
      </c>
      <c r="H1118" s="256" t="s">
        <v>147</v>
      </c>
      <c r="I1118" s="256" t="s">
        <v>137</v>
      </c>
      <c r="J1118" s="256" t="s">
        <v>97</v>
      </c>
      <c r="K1118" s="272" t="s">
        <v>201</v>
      </c>
      <c r="L1118" s="252" t="s">
        <v>154</v>
      </c>
      <c r="M1118" s="252"/>
      <c r="N1118" s="252"/>
      <c r="O1118" s="252"/>
    </row>
    <row r="1119" spans="1:15" hidden="1">
      <c r="A1119" s="276">
        <v>45825</v>
      </c>
      <c r="B1119" s="252" t="s">
        <v>1757</v>
      </c>
      <c r="C1119" s="252" t="s">
        <v>173</v>
      </c>
      <c r="D1119" s="252" t="s">
        <v>116</v>
      </c>
      <c r="E1119" s="254">
        <v>8000</v>
      </c>
      <c r="F1119" s="254">
        <v>14.261711824713291</v>
      </c>
      <c r="G1119" s="264">
        <v>579.64599999999996</v>
      </c>
      <c r="H1119" s="256" t="s">
        <v>189</v>
      </c>
      <c r="I1119" s="256" t="s">
        <v>1997</v>
      </c>
      <c r="J1119" s="256" t="s">
        <v>97</v>
      </c>
      <c r="K1119" s="272" t="s">
        <v>201</v>
      </c>
      <c r="L1119" s="252" t="s">
        <v>154</v>
      </c>
      <c r="M1119" s="252"/>
      <c r="N1119" s="252"/>
      <c r="O1119" s="252"/>
    </row>
    <row r="1120" spans="1:15" hidden="1">
      <c r="A1120" s="276">
        <v>45825</v>
      </c>
      <c r="B1120" s="252" t="s">
        <v>1942</v>
      </c>
      <c r="C1120" s="252" t="s">
        <v>173</v>
      </c>
      <c r="D1120" s="252" t="s">
        <v>116</v>
      </c>
      <c r="E1120" s="254">
        <v>29000</v>
      </c>
      <c r="F1120" s="254">
        <v>51.698705364585685</v>
      </c>
      <c r="G1120" s="264">
        <v>579.64599999999996</v>
      </c>
      <c r="H1120" s="256" t="s">
        <v>189</v>
      </c>
      <c r="I1120" s="256" t="s">
        <v>230</v>
      </c>
      <c r="J1120" s="256" t="s">
        <v>97</v>
      </c>
      <c r="K1120" s="272" t="s">
        <v>201</v>
      </c>
      <c r="L1120" s="252" t="s">
        <v>154</v>
      </c>
      <c r="M1120" s="252"/>
      <c r="N1120" s="252"/>
      <c r="O1120" s="252"/>
    </row>
    <row r="1121" spans="1:15" hidden="1">
      <c r="A1121" s="276">
        <v>45825</v>
      </c>
      <c r="B1121" s="252" t="s">
        <v>1943</v>
      </c>
      <c r="C1121" s="258" t="s">
        <v>176</v>
      </c>
      <c r="D1121" s="252" t="s">
        <v>116</v>
      </c>
      <c r="E1121" s="254">
        <v>50000</v>
      </c>
      <c r="F1121" s="254">
        <v>89.135698904458081</v>
      </c>
      <c r="G1121" s="264">
        <v>579.64599999999996</v>
      </c>
      <c r="H1121" s="256" t="s">
        <v>189</v>
      </c>
      <c r="I1121" s="256" t="s">
        <v>232</v>
      </c>
      <c r="J1121" s="256" t="s">
        <v>97</v>
      </c>
      <c r="K1121" s="272" t="s">
        <v>201</v>
      </c>
      <c r="L1121" s="252" t="s">
        <v>154</v>
      </c>
      <c r="M1121" s="252"/>
      <c r="N1121" s="252"/>
      <c r="O1121" s="252"/>
    </row>
    <row r="1122" spans="1:15" hidden="1">
      <c r="A1122" s="276">
        <v>45826</v>
      </c>
      <c r="B1122" s="252" t="s">
        <v>1962</v>
      </c>
      <c r="C1122" s="252" t="s">
        <v>173</v>
      </c>
      <c r="D1122" s="252" t="s">
        <v>116</v>
      </c>
      <c r="E1122" s="254">
        <v>15500</v>
      </c>
      <c r="F1122" s="254">
        <v>27.632066660382005</v>
      </c>
      <c r="G1122" s="264">
        <v>579.64599999999996</v>
      </c>
      <c r="H1122" s="256" t="s">
        <v>199</v>
      </c>
      <c r="I1122" s="256" t="s">
        <v>349</v>
      </c>
      <c r="J1122" s="256" t="s">
        <v>97</v>
      </c>
      <c r="K1122" s="272" t="s">
        <v>201</v>
      </c>
      <c r="L1122" s="252" t="s">
        <v>154</v>
      </c>
      <c r="M1122" s="252"/>
      <c r="N1122" s="252"/>
      <c r="O1122" s="252"/>
    </row>
    <row r="1123" spans="1:15" hidden="1">
      <c r="A1123" s="276">
        <v>45826</v>
      </c>
      <c r="B1123" s="252" t="s">
        <v>1998</v>
      </c>
      <c r="C1123" s="258" t="s">
        <v>176</v>
      </c>
      <c r="D1123" s="252" t="s">
        <v>116</v>
      </c>
      <c r="E1123" s="254">
        <v>20000</v>
      </c>
      <c r="F1123" s="254">
        <v>35.654279561783227</v>
      </c>
      <c r="G1123" s="264">
        <v>579.64599999999996</v>
      </c>
      <c r="H1123" s="256" t="s">
        <v>189</v>
      </c>
      <c r="I1123" s="256" t="s">
        <v>326</v>
      </c>
      <c r="J1123" s="256" t="s">
        <v>97</v>
      </c>
      <c r="K1123" s="272" t="s">
        <v>201</v>
      </c>
      <c r="L1123" s="252" t="s">
        <v>154</v>
      </c>
      <c r="M1123" s="252"/>
      <c r="N1123" s="252"/>
      <c r="O1123" s="252"/>
    </row>
    <row r="1124" spans="1:15" hidden="1">
      <c r="A1124" s="276">
        <v>45827</v>
      </c>
      <c r="B1124" s="252" t="s">
        <v>1999</v>
      </c>
      <c r="C1124" s="252" t="s">
        <v>312</v>
      </c>
      <c r="D1124" s="252" t="s">
        <v>116</v>
      </c>
      <c r="E1124" s="254">
        <v>34500</v>
      </c>
      <c r="F1124" s="254">
        <v>61.503632244076073</v>
      </c>
      <c r="G1124" s="264">
        <v>579.64599999999996</v>
      </c>
      <c r="H1124" s="256" t="s">
        <v>189</v>
      </c>
      <c r="I1124" s="256" t="s">
        <v>2000</v>
      </c>
      <c r="J1124" s="256" t="s">
        <v>97</v>
      </c>
      <c r="K1124" s="272" t="s">
        <v>201</v>
      </c>
      <c r="L1124" s="252" t="s">
        <v>154</v>
      </c>
      <c r="M1124" s="252"/>
      <c r="N1124" s="252"/>
      <c r="O1124" s="252"/>
    </row>
    <row r="1125" spans="1:15" hidden="1">
      <c r="A1125" s="276">
        <v>45827</v>
      </c>
      <c r="B1125" s="252" t="s">
        <v>2085</v>
      </c>
      <c r="C1125" s="258" t="s">
        <v>2089</v>
      </c>
      <c r="D1125" s="252" t="s">
        <v>2077</v>
      </c>
      <c r="E1125" s="254">
        <v>132000</v>
      </c>
      <c r="F1125" s="254">
        <v>235.31824510776931</v>
      </c>
      <c r="G1125" s="264">
        <v>579.64599999999996</v>
      </c>
      <c r="H1125" s="256" t="s">
        <v>212</v>
      </c>
      <c r="I1125" s="256" t="s">
        <v>1944</v>
      </c>
      <c r="J1125" s="256" t="s">
        <v>97</v>
      </c>
      <c r="K1125" s="272" t="s">
        <v>201</v>
      </c>
      <c r="L1125" s="252" t="s">
        <v>154</v>
      </c>
      <c r="M1125" s="252"/>
      <c r="N1125" s="252"/>
      <c r="O1125" s="252"/>
    </row>
    <row r="1126" spans="1:15" hidden="1">
      <c r="A1126" s="276">
        <v>45828</v>
      </c>
      <c r="B1126" s="252" t="s">
        <v>2001</v>
      </c>
      <c r="C1126" s="258" t="s">
        <v>176</v>
      </c>
      <c r="D1126" s="252" t="s">
        <v>116</v>
      </c>
      <c r="E1126" s="254">
        <v>30000</v>
      </c>
      <c r="F1126" s="254">
        <v>53.481419342674847</v>
      </c>
      <c r="G1126" s="264">
        <v>579.64599999999996</v>
      </c>
      <c r="H1126" s="256" t="s">
        <v>189</v>
      </c>
      <c r="I1126" s="256" t="s">
        <v>2002</v>
      </c>
      <c r="J1126" s="256" t="s">
        <v>97</v>
      </c>
      <c r="K1126" s="272" t="s">
        <v>201</v>
      </c>
      <c r="L1126" s="252" t="s">
        <v>154</v>
      </c>
      <c r="M1126" s="252"/>
      <c r="N1126" s="252"/>
      <c r="O1126" s="252"/>
    </row>
    <row r="1127" spans="1:15" hidden="1">
      <c r="A1127" s="276">
        <v>45828</v>
      </c>
      <c r="B1127" s="252" t="s">
        <v>2081</v>
      </c>
      <c r="C1127" s="258" t="s">
        <v>1164</v>
      </c>
      <c r="D1127" s="252" t="s">
        <v>117</v>
      </c>
      <c r="E1127" s="254">
        <v>25000</v>
      </c>
      <c r="F1127" s="254">
        <v>44.567849452229041</v>
      </c>
      <c r="G1127" s="264">
        <v>579.64599999999996</v>
      </c>
      <c r="H1127" s="256" t="s">
        <v>583</v>
      </c>
      <c r="I1127" s="256" t="s">
        <v>234</v>
      </c>
      <c r="J1127" s="256" t="s">
        <v>97</v>
      </c>
      <c r="K1127" s="272" t="s">
        <v>201</v>
      </c>
      <c r="L1127" s="252" t="s">
        <v>154</v>
      </c>
      <c r="M1127" s="252"/>
      <c r="N1127" s="252"/>
      <c r="O1127" s="252"/>
    </row>
    <row r="1128" spans="1:15" hidden="1">
      <c r="A1128" s="276">
        <v>45828</v>
      </c>
      <c r="B1128" s="252" t="s">
        <v>1975</v>
      </c>
      <c r="C1128" s="252" t="s">
        <v>173</v>
      </c>
      <c r="D1128" s="253" t="s">
        <v>442</v>
      </c>
      <c r="E1128" s="254">
        <v>32100</v>
      </c>
      <c r="F1128" s="254">
        <v>57.225118696662086</v>
      </c>
      <c r="G1128" s="264">
        <v>579.64599999999996</v>
      </c>
      <c r="H1128" s="256" t="s">
        <v>183</v>
      </c>
      <c r="I1128" s="256" t="s">
        <v>202</v>
      </c>
      <c r="J1128" s="256" t="s">
        <v>97</v>
      </c>
      <c r="K1128" s="272" t="s">
        <v>201</v>
      </c>
      <c r="L1128" s="252" t="s">
        <v>154</v>
      </c>
      <c r="M1128" s="252"/>
      <c r="N1128" s="252"/>
      <c r="O1128" s="252"/>
    </row>
    <row r="1129" spans="1:15" hidden="1">
      <c r="A1129" s="276">
        <v>45828</v>
      </c>
      <c r="B1129" s="252" t="s">
        <v>1976</v>
      </c>
      <c r="C1129" s="252" t="s">
        <v>368</v>
      </c>
      <c r="D1129" s="253" t="s">
        <v>442</v>
      </c>
      <c r="E1129" s="254">
        <v>8500</v>
      </c>
      <c r="F1129" s="254">
        <v>15.153068813757873</v>
      </c>
      <c r="G1129" s="264">
        <v>579.64599999999996</v>
      </c>
      <c r="H1129" s="256" t="s">
        <v>183</v>
      </c>
      <c r="I1129" s="256" t="s">
        <v>320</v>
      </c>
      <c r="J1129" s="256" t="s">
        <v>97</v>
      </c>
      <c r="K1129" s="272" t="s">
        <v>201</v>
      </c>
      <c r="L1129" s="252" t="s">
        <v>154</v>
      </c>
      <c r="M1129" s="252"/>
      <c r="N1129" s="252"/>
      <c r="O1129" s="252"/>
    </row>
    <row r="1130" spans="1:15" hidden="1">
      <c r="A1130" s="276">
        <v>45828</v>
      </c>
      <c r="B1130" s="252" t="s">
        <v>1983</v>
      </c>
      <c r="C1130" s="252" t="s">
        <v>173</v>
      </c>
      <c r="D1130" s="253" t="s">
        <v>442</v>
      </c>
      <c r="E1130" s="254">
        <v>50500</v>
      </c>
      <c r="F1130" s="254">
        <v>90.027055893502663</v>
      </c>
      <c r="G1130" s="264">
        <v>579.64599999999996</v>
      </c>
      <c r="H1130" s="256" t="s">
        <v>316</v>
      </c>
      <c r="I1130" s="256" t="s">
        <v>366</v>
      </c>
      <c r="J1130" s="256" t="s">
        <v>97</v>
      </c>
      <c r="K1130" s="272" t="s">
        <v>201</v>
      </c>
      <c r="L1130" s="252" t="s">
        <v>154</v>
      </c>
      <c r="M1130" s="252"/>
      <c r="N1130" s="252"/>
      <c r="O1130" s="252"/>
    </row>
    <row r="1131" spans="1:15" hidden="1">
      <c r="A1131" s="276">
        <v>45828</v>
      </c>
      <c r="B1131" s="252" t="s">
        <v>1986</v>
      </c>
      <c r="C1131" s="252" t="s">
        <v>173</v>
      </c>
      <c r="D1131" s="253" t="s">
        <v>442</v>
      </c>
      <c r="E1131" s="254">
        <v>29000</v>
      </c>
      <c r="F1131" s="254">
        <v>51.698705364585685</v>
      </c>
      <c r="G1131" s="264">
        <v>579.64599999999996</v>
      </c>
      <c r="H1131" s="256" t="s">
        <v>322</v>
      </c>
      <c r="I1131" s="256" t="s">
        <v>324</v>
      </c>
      <c r="J1131" s="256" t="s">
        <v>97</v>
      </c>
      <c r="K1131" s="272" t="s">
        <v>201</v>
      </c>
      <c r="L1131" s="252" t="s">
        <v>154</v>
      </c>
      <c r="M1131" s="252"/>
      <c r="N1131" s="252"/>
      <c r="O1131" s="252"/>
    </row>
    <row r="1132" spans="1:15" hidden="1">
      <c r="A1132" s="276">
        <v>45828</v>
      </c>
      <c r="B1132" s="252" t="s">
        <v>1945</v>
      </c>
      <c r="C1132" s="252" t="s">
        <v>173</v>
      </c>
      <c r="D1132" s="252" t="s">
        <v>116</v>
      </c>
      <c r="E1132" s="254">
        <v>82000</v>
      </c>
      <c r="F1132" s="254">
        <v>146.18254620331123</v>
      </c>
      <c r="G1132" s="264">
        <v>579.64599999999996</v>
      </c>
      <c r="H1132" s="256" t="s">
        <v>196</v>
      </c>
      <c r="I1132" s="256" t="s">
        <v>236</v>
      </c>
      <c r="J1132" s="256" t="s">
        <v>97</v>
      </c>
      <c r="K1132" s="272" t="s">
        <v>201</v>
      </c>
      <c r="L1132" s="252" t="s">
        <v>154</v>
      </c>
      <c r="M1132" s="252"/>
      <c r="N1132" s="252"/>
      <c r="O1132" s="252"/>
    </row>
    <row r="1133" spans="1:15" hidden="1">
      <c r="A1133" s="276">
        <v>45828</v>
      </c>
      <c r="B1133" s="252" t="s">
        <v>1946</v>
      </c>
      <c r="C1133" s="258" t="s">
        <v>176</v>
      </c>
      <c r="D1133" s="252" t="s">
        <v>116</v>
      </c>
      <c r="E1133" s="254">
        <v>175000</v>
      </c>
      <c r="F1133" s="254">
        <v>311.97494616560328</v>
      </c>
      <c r="G1133" s="264">
        <v>579.64599999999996</v>
      </c>
      <c r="H1133" s="256" t="s">
        <v>196</v>
      </c>
      <c r="I1133" s="256" t="s">
        <v>238</v>
      </c>
      <c r="J1133" s="256" t="s">
        <v>97</v>
      </c>
      <c r="K1133" s="272" t="s">
        <v>201</v>
      </c>
      <c r="L1133" s="252" t="s">
        <v>154</v>
      </c>
      <c r="M1133" s="252"/>
      <c r="N1133" s="252"/>
      <c r="O1133" s="252"/>
    </row>
    <row r="1134" spans="1:15" hidden="1">
      <c r="A1134" s="276">
        <v>45828</v>
      </c>
      <c r="B1134" s="252" t="s">
        <v>2078</v>
      </c>
      <c r="C1134" s="252" t="s">
        <v>173</v>
      </c>
      <c r="D1134" s="252" t="s">
        <v>119</v>
      </c>
      <c r="E1134" s="254">
        <v>22500</v>
      </c>
      <c r="F1134" s="254">
        <v>40.111064507006134</v>
      </c>
      <c r="G1134" s="264">
        <v>579.64599999999996</v>
      </c>
      <c r="H1134" s="256" t="s">
        <v>212</v>
      </c>
      <c r="I1134" s="256" t="s">
        <v>417</v>
      </c>
      <c r="J1134" s="256" t="s">
        <v>97</v>
      </c>
      <c r="K1134" s="272" t="s">
        <v>201</v>
      </c>
      <c r="L1134" s="252" t="s">
        <v>154</v>
      </c>
      <c r="M1134" s="252"/>
      <c r="N1134" s="252"/>
      <c r="O1134" s="252"/>
    </row>
    <row r="1135" spans="1:15" hidden="1">
      <c r="A1135" s="276">
        <v>45830</v>
      </c>
      <c r="B1135" s="252" t="s">
        <v>2051</v>
      </c>
      <c r="C1135" s="252" t="s">
        <v>195</v>
      </c>
      <c r="D1135" s="252" t="s">
        <v>116</v>
      </c>
      <c r="E1135" s="254">
        <v>33000</v>
      </c>
      <c r="F1135" s="254">
        <v>58.829561276942329</v>
      </c>
      <c r="G1135" s="264">
        <v>579.64599999999996</v>
      </c>
      <c r="H1135" s="256" t="s">
        <v>196</v>
      </c>
      <c r="I1135" s="256" t="s">
        <v>2052</v>
      </c>
      <c r="J1135" s="256" t="s">
        <v>97</v>
      </c>
      <c r="K1135" s="272" t="s">
        <v>201</v>
      </c>
      <c r="L1135" s="252" t="s">
        <v>154</v>
      </c>
      <c r="M1135" s="252"/>
      <c r="N1135" s="252"/>
      <c r="O1135" s="252"/>
    </row>
    <row r="1136" spans="1:15" hidden="1">
      <c r="A1136" s="276">
        <v>45830</v>
      </c>
      <c r="B1136" s="252" t="s">
        <v>2053</v>
      </c>
      <c r="C1136" s="258" t="s">
        <v>176</v>
      </c>
      <c r="D1136" s="252" t="s">
        <v>116</v>
      </c>
      <c r="E1136" s="254">
        <v>70000</v>
      </c>
      <c r="F1136" s="254">
        <v>124.78997846624131</v>
      </c>
      <c r="G1136" s="264">
        <v>579.64599999999996</v>
      </c>
      <c r="H1136" s="256" t="s">
        <v>196</v>
      </c>
      <c r="I1136" s="256" t="s">
        <v>300</v>
      </c>
      <c r="J1136" s="256" t="s">
        <v>97</v>
      </c>
      <c r="K1136" s="272" t="s">
        <v>201</v>
      </c>
      <c r="L1136" s="252" t="s">
        <v>154</v>
      </c>
      <c r="M1136" s="252"/>
      <c r="N1136" s="252"/>
      <c r="O1136" s="252"/>
    </row>
    <row r="1137" spans="1:15" hidden="1">
      <c r="A1137" s="276">
        <v>45831</v>
      </c>
      <c r="B1137" s="252" t="s">
        <v>1947</v>
      </c>
      <c r="C1137" s="252" t="s">
        <v>303</v>
      </c>
      <c r="D1137" s="252" t="s">
        <v>117</v>
      </c>
      <c r="E1137" s="254">
        <v>10000</v>
      </c>
      <c r="F1137" s="254">
        <v>17.827139780891613</v>
      </c>
      <c r="G1137" s="264">
        <v>579.64599999999996</v>
      </c>
      <c r="H1137" s="256" t="s">
        <v>583</v>
      </c>
      <c r="I1137" s="256" t="s">
        <v>240</v>
      </c>
      <c r="J1137" s="256" t="s">
        <v>97</v>
      </c>
      <c r="K1137" s="272" t="s">
        <v>201</v>
      </c>
      <c r="L1137" s="252" t="s">
        <v>154</v>
      </c>
      <c r="M1137" s="252"/>
      <c r="N1137" s="252"/>
      <c r="O1137" s="252"/>
    </row>
    <row r="1138" spans="1:15" hidden="1">
      <c r="A1138" s="276">
        <v>45831</v>
      </c>
      <c r="B1138" s="252" t="s">
        <v>1979</v>
      </c>
      <c r="C1138" s="252" t="s">
        <v>368</v>
      </c>
      <c r="D1138" s="253" t="s">
        <v>442</v>
      </c>
      <c r="E1138" s="254">
        <v>12500</v>
      </c>
      <c r="F1138" s="254">
        <v>22.28392472611452</v>
      </c>
      <c r="G1138" s="264">
        <v>579.64599999999996</v>
      </c>
      <c r="H1138" s="256" t="s">
        <v>174</v>
      </c>
      <c r="I1138" s="256" t="s">
        <v>177</v>
      </c>
      <c r="J1138" s="256" t="s">
        <v>97</v>
      </c>
      <c r="K1138" s="272" t="s">
        <v>201</v>
      </c>
      <c r="L1138" s="252" t="s">
        <v>154</v>
      </c>
      <c r="M1138" s="252"/>
      <c r="N1138" s="252"/>
      <c r="O1138" s="252"/>
    </row>
    <row r="1139" spans="1:15" hidden="1">
      <c r="A1139" s="276">
        <v>45831</v>
      </c>
      <c r="B1139" s="252" t="s">
        <v>2054</v>
      </c>
      <c r="C1139" s="258" t="s">
        <v>176</v>
      </c>
      <c r="D1139" s="252" t="s">
        <v>116</v>
      </c>
      <c r="E1139" s="254">
        <v>15000</v>
      </c>
      <c r="F1139" s="254">
        <v>26.740709671337424</v>
      </c>
      <c r="G1139" s="264">
        <v>579.64599999999996</v>
      </c>
      <c r="H1139" s="256" t="s">
        <v>196</v>
      </c>
      <c r="I1139" s="256" t="s">
        <v>2055</v>
      </c>
      <c r="J1139" s="256" t="s">
        <v>97</v>
      </c>
      <c r="K1139" s="272" t="s">
        <v>201</v>
      </c>
      <c r="L1139" s="252" t="s">
        <v>154</v>
      </c>
      <c r="M1139" s="252"/>
      <c r="N1139" s="252"/>
      <c r="O1139" s="252"/>
    </row>
    <row r="1140" spans="1:15" hidden="1">
      <c r="A1140" s="276">
        <v>45832</v>
      </c>
      <c r="B1140" s="252" t="s">
        <v>1980</v>
      </c>
      <c r="C1140" s="252" t="s">
        <v>173</v>
      </c>
      <c r="D1140" s="253" t="s">
        <v>442</v>
      </c>
      <c r="E1140" s="254">
        <v>61800</v>
      </c>
      <c r="F1140" s="254">
        <v>110.17172384591018</v>
      </c>
      <c r="G1140" s="264">
        <v>579.64599999999996</v>
      </c>
      <c r="H1140" s="256" t="s">
        <v>174</v>
      </c>
      <c r="I1140" s="256" t="s">
        <v>321</v>
      </c>
      <c r="J1140" s="256" t="s">
        <v>97</v>
      </c>
      <c r="K1140" s="272" t="s">
        <v>201</v>
      </c>
      <c r="L1140" s="252" t="s">
        <v>154</v>
      </c>
      <c r="M1140" s="252"/>
      <c r="N1140" s="252"/>
      <c r="O1140" s="252"/>
    </row>
    <row r="1141" spans="1:15" hidden="1">
      <c r="A1141" s="276">
        <v>45832</v>
      </c>
      <c r="B1141" s="252" t="s">
        <v>1948</v>
      </c>
      <c r="C1141" s="259" t="s">
        <v>2087</v>
      </c>
      <c r="D1141" s="252" t="s">
        <v>117</v>
      </c>
      <c r="E1141" s="254">
        <v>2000</v>
      </c>
      <c r="F1141" s="254">
        <v>3.5654279561783229</v>
      </c>
      <c r="G1141" s="264">
        <v>579.64599999999996</v>
      </c>
      <c r="H1141" s="256" t="s">
        <v>189</v>
      </c>
      <c r="I1141" s="256" t="s">
        <v>279</v>
      </c>
      <c r="J1141" s="256" t="s">
        <v>97</v>
      </c>
      <c r="K1141" s="272" t="s">
        <v>201</v>
      </c>
      <c r="L1141" s="252" t="s">
        <v>154</v>
      </c>
      <c r="M1141" s="252"/>
      <c r="N1141" s="252"/>
      <c r="O1141" s="252"/>
    </row>
    <row r="1142" spans="1:15" hidden="1">
      <c r="A1142" s="276">
        <v>45832</v>
      </c>
      <c r="B1142" s="252" t="s">
        <v>2007</v>
      </c>
      <c r="C1142" s="252" t="s">
        <v>173</v>
      </c>
      <c r="D1142" s="252" t="s">
        <v>116</v>
      </c>
      <c r="E1142" s="254">
        <v>7000</v>
      </c>
      <c r="F1142" s="254">
        <v>12.47899784662413</v>
      </c>
      <c r="G1142" s="264">
        <v>579.64599999999996</v>
      </c>
      <c r="H1142" s="256" t="s">
        <v>192</v>
      </c>
      <c r="I1142" s="256" t="s">
        <v>2022</v>
      </c>
      <c r="J1142" s="256" t="s">
        <v>97</v>
      </c>
      <c r="K1142" s="272" t="s">
        <v>201</v>
      </c>
      <c r="L1142" s="252" t="s">
        <v>154</v>
      </c>
      <c r="M1142" s="252"/>
      <c r="N1142" s="252"/>
      <c r="O1142" s="252"/>
    </row>
    <row r="1143" spans="1:15" hidden="1">
      <c r="A1143" s="276">
        <v>45832</v>
      </c>
      <c r="B1143" s="252" t="s">
        <v>2024</v>
      </c>
      <c r="C1143" s="252" t="s">
        <v>173</v>
      </c>
      <c r="D1143" s="252" t="s">
        <v>116</v>
      </c>
      <c r="E1143" s="254">
        <v>20000</v>
      </c>
      <c r="F1143" s="254">
        <v>35.654279561783227</v>
      </c>
      <c r="G1143" s="264">
        <v>579.64599999999996</v>
      </c>
      <c r="H1143" s="256" t="s">
        <v>192</v>
      </c>
      <c r="I1143" s="256" t="s">
        <v>269</v>
      </c>
      <c r="J1143" s="256" t="s">
        <v>97</v>
      </c>
      <c r="K1143" s="272" t="s">
        <v>201</v>
      </c>
      <c r="L1143" s="252" t="s">
        <v>154</v>
      </c>
      <c r="M1143" s="252"/>
      <c r="N1143" s="252"/>
      <c r="O1143" s="252"/>
    </row>
    <row r="1144" spans="1:15" hidden="1">
      <c r="A1144" s="276">
        <v>45832</v>
      </c>
      <c r="B1144" s="252" t="s">
        <v>2025</v>
      </c>
      <c r="C1144" s="258" t="s">
        <v>176</v>
      </c>
      <c r="D1144" s="252" t="s">
        <v>116</v>
      </c>
      <c r="E1144" s="254">
        <v>50000</v>
      </c>
      <c r="F1144" s="254">
        <v>89.135698904458081</v>
      </c>
      <c r="G1144" s="264">
        <v>579.64599999999996</v>
      </c>
      <c r="H1144" s="256" t="s">
        <v>192</v>
      </c>
      <c r="I1144" s="256" t="s">
        <v>277</v>
      </c>
      <c r="J1144" s="256" t="s">
        <v>97</v>
      </c>
      <c r="K1144" s="272" t="s">
        <v>201</v>
      </c>
      <c r="L1144" s="252" t="s">
        <v>154</v>
      </c>
      <c r="M1144" s="252"/>
      <c r="N1144" s="252"/>
      <c r="O1144" s="252"/>
    </row>
    <row r="1145" spans="1:15" hidden="1">
      <c r="A1145" s="276">
        <v>45832</v>
      </c>
      <c r="B1145" s="252" t="s">
        <v>2056</v>
      </c>
      <c r="C1145" s="258" t="s">
        <v>176</v>
      </c>
      <c r="D1145" s="252" t="s">
        <v>116</v>
      </c>
      <c r="E1145" s="254">
        <v>15000</v>
      </c>
      <c r="F1145" s="254">
        <v>26.740709671337424</v>
      </c>
      <c r="G1145" s="264">
        <v>579.64599999999996</v>
      </c>
      <c r="H1145" s="256" t="s">
        <v>196</v>
      </c>
      <c r="I1145" s="256" t="s">
        <v>2057</v>
      </c>
      <c r="J1145" s="256" t="s">
        <v>97</v>
      </c>
      <c r="K1145" s="272" t="s">
        <v>201</v>
      </c>
      <c r="L1145" s="252" t="s">
        <v>154</v>
      </c>
      <c r="M1145" s="252"/>
      <c r="N1145" s="252"/>
      <c r="O1145" s="252"/>
    </row>
    <row r="1146" spans="1:15" hidden="1">
      <c r="A1146" s="276">
        <v>45832</v>
      </c>
      <c r="B1146" s="277" t="s">
        <v>1912</v>
      </c>
      <c r="C1146" s="252" t="s">
        <v>122</v>
      </c>
      <c r="D1146" s="252" t="s">
        <v>116</v>
      </c>
      <c r="E1146" s="254">
        <v>300000</v>
      </c>
      <c r="F1146" s="254">
        <v>534.81419342674849</v>
      </c>
      <c r="G1146" s="264">
        <v>579.64599999999996</v>
      </c>
      <c r="H1146" s="256" t="s">
        <v>147</v>
      </c>
      <c r="I1146" s="256" t="s">
        <v>138</v>
      </c>
      <c r="J1146" s="256" t="s">
        <v>97</v>
      </c>
      <c r="K1146" s="272" t="s">
        <v>201</v>
      </c>
      <c r="L1146" s="252" t="s">
        <v>154</v>
      </c>
      <c r="M1146" s="252"/>
      <c r="N1146" s="252"/>
      <c r="O1146" s="252"/>
    </row>
    <row r="1147" spans="1:15" hidden="1">
      <c r="A1147" s="276">
        <v>45833</v>
      </c>
      <c r="B1147" s="252" t="s">
        <v>2023</v>
      </c>
      <c r="C1147" s="258" t="s">
        <v>176</v>
      </c>
      <c r="D1147" s="252" t="s">
        <v>116</v>
      </c>
      <c r="E1147" s="254">
        <v>20000</v>
      </c>
      <c r="F1147" s="254">
        <v>35.654279561783227</v>
      </c>
      <c r="G1147" s="264">
        <v>579.64599999999996</v>
      </c>
      <c r="H1147" s="256" t="s">
        <v>192</v>
      </c>
      <c r="I1147" s="256" t="s">
        <v>415</v>
      </c>
      <c r="J1147" s="256" t="s">
        <v>97</v>
      </c>
      <c r="K1147" s="272" t="s">
        <v>201</v>
      </c>
      <c r="L1147" s="252" t="s">
        <v>154</v>
      </c>
      <c r="M1147" s="252"/>
      <c r="N1147" s="252"/>
      <c r="O1147" s="252"/>
    </row>
    <row r="1148" spans="1:15" hidden="1">
      <c r="A1148" s="279">
        <v>45834</v>
      </c>
      <c r="B1148" s="252" t="s">
        <v>2027</v>
      </c>
      <c r="C1148" s="252" t="s">
        <v>312</v>
      </c>
      <c r="D1148" s="252" t="s">
        <v>116</v>
      </c>
      <c r="E1148" s="254">
        <v>21000</v>
      </c>
      <c r="F1148" s="254">
        <v>37.43699353987239</v>
      </c>
      <c r="G1148" s="264">
        <v>579.64599999999996</v>
      </c>
      <c r="H1148" s="256" t="s">
        <v>192</v>
      </c>
      <c r="I1148" s="256" t="s">
        <v>2028</v>
      </c>
      <c r="J1148" s="256" t="s">
        <v>97</v>
      </c>
      <c r="K1148" s="272" t="s">
        <v>201</v>
      </c>
      <c r="L1148" s="252" t="s">
        <v>154</v>
      </c>
      <c r="M1148" s="252"/>
      <c r="N1148" s="252"/>
      <c r="O1148" s="252"/>
    </row>
    <row r="1149" spans="1:15" hidden="1">
      <c r="A1149" s="276">
        <v>45834</v>
      </c>
      <c r="B1149" s="252" t="s">
        <v>2058</v>
      </c>
      <c r="C1149" s="252" t="s">
        <v>312</v>
      </c>
      <c r="D1149" s="252" t="s">
        <v>116</v>
      </c>
      <c r="E1149" s="254">
        <v>40500</v>
      </c>
      <c r="F1149" s="254">
        <v>72.199916112611035</v>
      </c>
      <c r="G1149" s="264">
        <v>579.64599999999996</v>
      </c>
      <c r="H1149" s="256" t="s">
        <v>196</v>
      </c>
      <c r="I1149" s="256" t="s">
        <v>2059</v>
      </c>
      <c r="J1149" s="256" t="s">
        <v>97</v>
      </c>
      <c r="K1149" s="272" t="s">
        <v>201</v>
      </c>
      <c r="L1149" s="252" t="s">
        <v>154</v>
      </c>
      <c r="M1149" s="252"/>
      <c r="N1149" s="252"/>
      <c r="O1149" s="252"/>
    </row>
    <row r="1150" spans="1:15" hidden="1">
      <c r="A1150" s="279">
        <v>45835</v>
      </c>
      <c r="B1150" s="252" t="s">
        <v>2009</v>
      </c>
      <c r="C1150" s="252" t="s">
        <v>173</v>
      </c>
      <c r="D1150" s="252" t="s">
        <v>116</v>
      </c>
      <c r="E1150" s="254">
        <v>7000</v>
      </c>
      <c r="F1150" s="254">
        <v>12.47899784662413</v>
      </c>
      <c r="G1150" s="264">
        <v>579.64599999999996</v>
      </c>
      <c r="H1150" s="256" t="s">
        <v>192</v>
      </c>
      <c r="I1150" s="256" t="s">
        <v>2026</v>
      </c>
      <c r="J1150" s="256" t="s">
        <v>97</v>
      </c>
      <c r="K1150" s="272" t="s">
        <v>201</v>
      </c>
      <c r="L1150" s="252" t="s">
        <v>154</v>
      </c>
      <c r="M1150" s="252"/>
      <c r="N1150" s="252"/>
      <c r="O1150" s="252"/>
    </row>
    <row r="1151" spans="1:15" hidden="1">
      <c r="A1151" s="276">
        <v>45835</v>
      </c>
      <c r="B1151" s="252" t="s">
        <v>2060</v>
      </c>
      <c r="C1151" s="252" t="s">
        <v>195</v>
      </c>
      <c r="D1151" s="252" t="s">
        <v>116</v>
      </c>
      <c r="E1151" s="254">
        <v>33000</v>
      </c>
      <c r="F1151" s="254">
        <v>58.829561276942329</v>
      </c>
      <c r="G1151" s="264">
        <v>579.64599999999996</v>
      </c>
      <c r="H1151" s="256" t="s">
        <v>196</v>
      </c>
      <c r="I1151" s="256" t="s">
        <v>2061</v>
      </c>
      <c r="J1151" s="256" t="s">
        <v>97</v>
      </c>
      <c r="K1151" s="272" t="s">
        <v>201</v>
      </c>
      <c r="L1151" s="252" t="s">
        <v>154</v>
      </c>
      <c r="M1151" s="252"/>
      <c r="N1151" s="252"/>
      <c r="O1151" s="252"/>
    </row>
    <row r="1152" spans="1:15" hidden="1">
      <c r="A1152" s="276">
        <v>45835</v>
      </c>
      <c r="B1152" s="252" t="s">
        <v>1967</v>
      </c>
      <c r="C1152" s="258" t="s">
        <v>125</v>
      </c>
      <c r="D1152" s="252" t="s">
        <v>117</v>
      </c>
      <c r="E1152" s="254">
        <v>8000</v>
      </c>
      <c r="F1152" s="254">
        <v>14.261711824713291</v>
      </c>
      <c r="G1152" s="264">
        <v>579.64599999999996</v>
      </c>
      <c r="H1152" s="256" t="s">
        <v>583</v>
      </c>
      <c r="I1152" s="256" t="s">
        <v>301</v>
      </c>
      <c r="J1152" s="256" t="s">
        <v>97</v>
      </c>
      <c r="K1152" s="272" t="s">
        <v>201</v>
      </c>
      <c r="L1152" s="252" t="s">
        <v>154</v>
      </c>
      <c r="M1152" s="252"/>
      <c r="N1152" s="252"/>
      <c r="O1152" s="252"/>
    </row>
    <row r="1153" spans="1:15" hidden="1">
      <c r="A1153" s="276">
        <v>45835</v>
      </c>
      <c r="B1153" s="252" t="s">
        <v>1950</v>
      </c>
      <c r="C1153" s="252" t="s">
        <v>303</v>
      </c>
      <c r="D1153" s="252" t="s">
        <v>117</v>
      </c>
      <c r="E1153" s="254">
        <v>75625</v>
      </c>
      <c r="F1153" s="254">
        <v>134.81774459299285</v>
      </c>
      <c r="G1153" s="264">
        <v>579.64599999999996</v>
      </c>
      <c r="H1153" s="256" t="s">
        <v>583</v>
      </c>
      <c r="I1153" s="256" t="s">
        <v>304</v>
      </c>
      <c r="J1153" s="256" t="s">
        <v>97</v>
      </c>
      <c r="K1153" s="272" t="s">
        <v>201</v>
      </c>
      <c r="L1153" s="252" t="s">
        <v>154</v>
      </c>
      <c r="M1153" s="252"/>
      <c r="N1153" s="252"/>
      <c r="O1153" s="252"/>
    </row>
    <row r="1154" spans="1:15" hidden="1">
      <c r="A1154" s="276">
        <v>45835</v>
      </c>
      <c r="B1154" s="252" t="s">
        <v>2029</v>
      </c>
      <c r="C1154" s="258" t="s">
        <v>176</v>
      </c>
      <c r="D1154" s="252" t="s">
        <v>116</v>
      </c>
      <c r="E1154" s="254">
        <v>30000</v>
      </c>
      <c r="F1154" s="254">
        <v>53.481419342674847</v>
      </c>
      <c r="G1154" s="264">
        <v>579.64599999999996</v>
      </c>
      <c r="H1154" s="256" t="s">
        <v>192</v>
      </c>
      <c r="I1154" s="256" t="s">
        <v>2030</v>
      </c>
      <c r="J1154" s="256" t="s">
        <v>97</v>
      </c>
      <c r="K1154" s="272" t="s">
        <v>201</v>
      </c>
      <c r="L1154" s="252" t="s">
        <v>154</v>
      </c>
      <c r="M1154" s="252"/>
      <c r="N1154" s="252"/>
      <c r="O1154" s="252"/>
    </row>
    <row r="1155" spans="1:15" hidden="1">
      <c r="A1155" s="276">
        <v>45835</v>
      </c>
      <c r="B1155" s="252" t="s">
        <v>2062</v>
      </c>
      <c r="C1155" s="258" t="s">
        <v>176</v>
      </c>
      <c r="D1155" s="252" t="s">
        <v>116</v>
      </c>
      <c r="E1155" s="254">
        <v>45000</v>
      </c>
      <c r="F1155" s="254">
        <v>80.222129014012268</v>
      </c>
      <c r="G1155" s="264">
        <v>579.64599999999996</v>
      </c>
      <c r="H1155" s="256" t="s">
        <v>196</v>
      </c>
      <c r="I1155" s="256" t="s">
        <v>2063</v>
      </c>
      <c r="J1155" s="256" t="s">
        <v>97</v>
      </c>
      <c r="K1155" s="272" t="s">
        <v>201</v>
      </c>
      <c r="L1155" s="252" t="s">
        <v>154</v>
      </c>
      <c r="M1155" s="252"/>
      <c r="N1155" s="252"/>
      <c r="O1155" s="252"/>
    </row>
    <row r="1156" spans="1:15" hidden="1">
      <c r="A1156" s="276">
        <v>45836</v>
      </c>
      <c r="B1156" s="252" t="s">
        <v>2064</v>
      </c>
      <c r="C1156" s="258" t="s">
        <v>176</v>
      </c>
      <c r="D1156" s="252" t="s">
        <v>116</v>
      </c>
      <c r="E1156" s="254">
        <v>15000</v>
      </c>
      <c r="F1156" s="254">
        <v>26.740709671337424</v>
      </c>
      <c r="G1156" s="264">
        <v>579.64599999999996</v>
      </c>
      <c r="H1156" s="256" t="s">
        <v>196</v>
      </c>
      <c r="I1156" s="256" t="s">
        <v>2065</v>
      </c>
      <c r="J1156" s="256" t="s">
        <v>97</v>
      </c>
      <c r="K1156" s="272" t="s">
        <v>201</v>
      </c>
      <c r="L1156" s="252" t="s">
        <v>154</v>
      </c>
      <c r="M1156" s="252"/>
      <c r="N1156" s="252"/>
      <c r="O1156" s="252"/>
    </row>
    <row r="1157" spans="1:15" hidden="1">
      <c r="A1157" s="276">
        <v>45837</v>
      </c>
      <c r="B1157" s="252" t="s">
        <v>2066</v>
      </c>
      <c r="C1157" s="258" t="s">
        <v>176</v>
      </c>
      <c r="D1157" s="252" t="s">
        <v>116</v>
      </c>
      <c r="E1157" s="254">
        <v>15000</v>
      </c>
      <c r="F1157" s="254">
        <v>26.740709671337424</v>
      </c>
      <c r="G1157" s="264">
        <v>579.64599999999996</v>
      </c>
      <c r="H1157" s="256" t="s">
        <v>196</v>
      </c>
      <c r="I1157" s="256" t="s">
        <v>2067</v>
      </c>
      <c r="J1157" s="256" t="s">
        <v>97</v>
      </c>
      <c r="K1157" s="272" t="s">
        <v>201</v>
      </c>
      <c r="L1157" s="252" t="s">
        <v>154</v>
      </c>
      <c r="M1157" s="252"/>
      <c r="N1157" s="252"/>
      <c r="O1157" s="252"/>
    </row>
    <row r="1158" spans="1:15" hidden="1">
      <c r="A1158" s="276">
        <v>45837</v>
      </c>
      <c r="B1158" s="252" t="s">
        <v>2068</v>
      </c>
      <c r="C1158" s="252" t="s">
        <v>195</v>
      </c>
      <c r="D1158" s="252" t="s">
        <v>116</v>
      </c>
      <c r="E1158" s="254">
        <v>39000</v>
      </c>
      <c r="F1158" s="254">
        <v>69.525845145477305</v>
      </c>
      <c r="G1158" s="264">
        <v>579.64599999999996</v>
      </c>
      <c r="H1158" s="256" t="s">
        <v>196</v>
      </c>
      <c r="I1158" s="256" t="s">
        <v>2069</v>
      </c>
      <c r="J1158" s="256" t="s">
        <v>97</v>
      </c>
      <c r="K1158" s="272" t="s">
        <v>201</v>
      </c>
      <c r="L1158" s="252" t="s">
        <v>154</v>
      </c>
      <c r="M1158" s="252"/>
      <c r="N1158" s="252"/>
      <c r="O1158" s="252"/>
    </row>
    <row r="1159" spans="1:15" hidden="1">
      <c r="A1159" s="276">
        <v>45838</v>
      </c>
      <c r="B1159" s="252" t="s">
        <v>1954</v>
      </c>
      <c r="C1159" s="252" t="s">
        <v>173</v>
      </c>
      <c r="D1159" s="252" t="s">
        <v>118</v>
      </c>
      <c r="E1159" s="254">
        <v>49000</v>
      </c>
      <c r="F1159" s="254">
        <v>87.352984926368919</v>
      </c>
      <c r="G1159" s="264">
        <v>579.64599999999996</v>
      </c>
      <c r="H1159" s="256" t="s">
        <v>152</v>
      </c>
      <c r="I1159" s="256" t="s">
        <v>421</v>
      </c>
      <c r="J1159" s="256" t="s">
        <v>97</v>
      </c>
      <c r="K1159" s="272" t="s">
        <v>201</v>
      </c>
      <c r="L1159" s="252" t="s">
        <v>154</v>
      </c>
      <c r="M1159" s="252"/>
      <c r="N1159" s="252"/>
      <c r="O1159" s="252"/>
    </row>
    <row r="1160" spans="1:15" hidden="1">
      <c r="A1160" s="276">
        <v>45838</v>
      </c>
      <c r="B1160" s="252" t="s">
        <v>1947</v>
      </c>
      <c r="C1160" s="252" t="s">
        <v>303</v>
      </c>
      <c r="D1160" s="252" t="s">
        <v>117</v>
      </c>
      <c r="E1160" s="254">
        <v>50000</v>
      </c>
      <c r="F1160" s="254">
        <v>89.135698904458081</v>
      </c>
      <c r="G1160" s="264">
        <v>579.64599999999996</v>
      </c>
      <c r="H1160" s="256" t="s">
        <v>583</v>
      </c>
      <c r="I1160" s="256" t="s">
        <v>328</v>
      </c>
      <c r="J1160" s="256" t="s">
        <v>97</v>
      </c>
      <c r="K1160" s="272" t="s">
        <v>201</v>
      </c>
      <c r="L1160" s="252" t="s">
        <v>154</v>
      </c>
      <c r="M1160" s="252"/>
      <c r="N1160" s="252"/>
      <c r="O1160" s="252"/>
    </row>
    <row r="1161" spans="1:15" hidden="1">
      <c r="A1161" s="276">
        <v>45838</v>
      </c>
      <c r="B1161" s="252" t="s">
        <v>1951</v>
      </c>
      <c r="C1161" s="252" t="s">
        <v>626</v>
      </c>
      <c r="D1161" s="252" t="s">
        <v>117</v>
      </c>
      <c r="E1161" s="254">
        <v>45050</v>
      </c>
      <c r="F1161" s="254">
        <v>80.311264712916724</v>
      </c>
      <c r="G1161" s="264">
        <v>579.64599999999996</v>
      </c>
      <c r="H1161" s="256" t="s">
        <v>583</v>
      </c>
      <c r="I1161" s="256" t="s">
        <v>330</v>
      </c>
      <c r="J1161" s="256" t="s">
        <v>97</v>
      </c>
      <c r="K1161" s="272" t="s">
        <v>201</v>
      </c>
      <c r="L1161" s="252" t="s">
        <v>154</v>
      </c>
      <c r="M1161" s="252"/>
      <c r="N1161" s="252"/>
      <c r="O1161" s="252"/>
    </row>
    <row r="1162" spans="1:15" hidden="1">
      <c r="A1162" s="276">
        <v>45838</v>
      </c>
      <c r="B1162" s="252" t="s">
        <v>1965</v>
      </c>
      <c r="C1162" s="252" t="s">
        <v>173</v>
      </c>
      <c r="D1162" s="252" t="s">
        <v>117</v>
      </c>
      <c r="E1162" s="254">
        <v>26000</v>
      </c>
      <c r="F1162" s="254">
        <v>46.350563430318196</v>
      </c>
      <c r="G1162" s="264">
        <v>579.64599999999996</v>
      </c>
      <c r="H1162" s="256" t="s">
        <v>583</v>
      </c>
      <c r="I1162" s="256" t="s">
        <v>1966</v>
      </c>
      <c r="J1162" s="256" t="s">
        <v>97</v>
      </c>
      <c r="K1162" s="272" t="s">
        <v>201</v>
      </c>
      <c r="L1162" s="252" t="s">
        <v>154</v>
      </c>
      <c r="M1162" s="252"/>
      <c r="N1162" s="252"/>
      <c r="O1162" s="252"/>
    </row>
    <row r="1163" spans="1:15" hidden="1">
      <c r="A1163" s="276">
        <v>45838</v>
      </c>
      <c r="B1163" s="252" t="s">
        <v>2003</v>
      </c>
      <c r="C1163" s="252" t="s">
        <v>173</v>
      </c>
      <c r="D1163" s="252" t="s">
        <v>116</v>
      </c>
      <c r="E1163" s="254">
        <v>45700</v>
      </c>
      <c r="F1163" s="254">
        <v>81.470028798674676</v>
      </c>
      <c r="G1163" s="264">
        <v>579.64599999999996</v>
      </c>
      <c r="H1163" s="256" t="s">
        <v>189</v>
      </c>
      <c r="I1163" s="256" t="s">
        <v>2004</v>
      </c>
      <c r="J1163" s="256" t="s">
        <v>97</v>
      </c>
      <c r="K1163" s="272" t="s">
        <v>201</v>
      </c>
      <c r="L1163" s="252" t="s">
        <v>154</v>
      </c>
      <c r="M1163" s="252"/>
      <c r="N1163" s="252"/>
      <c r="O1163" s="252"/>
    </row>
    <row r="1164" spans="1:15" hidden="1">
      <c r="A1164" s="276">
        <v>45838</v>
      </c>
      <c r="B1164" s="252" t="s">
        <v>2031</v>
      </c>
      <c r="C1164" s="252" t="s">
        <v>173</v>
      </c>
      <c r="D1164" s="252" t="s">
        <v>116</v>
      </c>
      <c r="E1164" s="254">
        <v>53000</v>
      </c>
      <c r="F1164" s="254">
        <v>94.483840838725555</v>
      </c>
      <c r="G1164" s="264">
        <v>579.64599999999996</v>
      </c>
      <c r="H1164" s="256" t="s">
        <v>192</v>
      </c>
      <c r="I1164" s="256" t="s">
        <v>2032</v>
      </c>
      <c r="J1164" s="256" t="s">
        <v>97</v>
      </c>
      <c r="K1164" s="272" t="s">
        <v>201</v>
      </c>
      <c r="L1164" s="252" t="s">
        <v>154</v>
      </c>
      <c r="M1164" s="252"/>
      <c r="N1164" s="252"/>
      <c r="O1164" s="252"/>
    </row>
    <row r="1165" spans="1:15" ht="15.6" hidden="1">
      <c r="A1165" s="334">
        <v>45839</v>
      </c>
      <c r="B1165" s="302" t="s">
        <v>2100</v>
      </c>
      <c r="C1165" s="303" t="s">
        <v>173</v>
      </c>
      <c r="D1165" s="304" t="s">
        <v>118</v>
      </c>
      <c r="E1165" s="305">
        <v>1000</v>
      </c>
      <c r="F1165" s="317">
        <f t="shared" ref="F1165:F1211" si="3">E1165/G1165</f>
        <v>1.7827139780891614</v>
      </c>
      <c r="G1165" s="318">
        <v>560.94248000000005</v>
      </c>
      <c r="H1165" s="306" t="s">
        <v>152</v>
      </c>
      <c r="I1165" s="307" t="s">
        <v>2116</v>
      </c>
      <c r="J1165" s="127" t="s">
        <v>97</v>
      </c>
      <c r="K1165" s="127" t="s">
        <v>1903</v>
      </c>
      <c r="L1165" s="145" t="s">
        <v>154</v>
      </c>
      <c r="M1165" s="127"/>
      <c r="N1165" s="127"/>
      <c r="O1165" s="127"/>
    </row>
    <row r="1166" spans="1:15" ht="15.6" hidden="1">
      <c r="A1166" s="334">
        <v>45839</v>
      </c>
      <c r="B1166" s="302" t="s">
        <v>2101</v>
      </c>
      <c r="C1166" s="303" t="s">
        <v>173</v>
      </c>
      <c r="D1166" s="304" t="s">
        <v>118</v>
      </c>
      <c r="E1166" s="305">
        <v>1000</v>
      </c>
      <c r="F1166" s="317">
        <f t="shared" si="3"/>
        <v>1.7827139780891614</v>
      </c>
      <c r="G1166" s="318">
        <v>560.94248000000005</v>
      </c>
      <c r="H1166" s="306" t="s">
        <v>152</v>
      </c>
      <c r="I1166" s="307" t="s">
        <v>2116</v>
      </c>
      <c r="J1166" s="127" t="s">
        <v>97</v>
      </c>
      <c r="K1166" s="127" t="s">
        <v>1903</v>
      </c>
      <c r="L1166" s="145" t="s">
        <v>154</v>
      </c>
      <c r="M1166" s="127"/>
      <c r="N1166" s="127"/>
      <c r="O1166" s="127"/>
    </row>
    <row r="1167" spans="1:15" ht="15.6" hidden="1">
      <c r="A1167" s="334">
        <v>45840</v>
      </c>
      <c r="B1167" s="302" t="s">
        <v>2100</v>
      </c>
      <c r="C1167" s="303" t="s">
        <v>173</v>
      </c>
      <c r="D1167" s="304" t="s">
        <v>118</v>
      </c>
      <c r="E1167" s="305">
        <v>1000</v>
      </c>
      <c r="F1167" s="317">
        <f t="shared" si="3"/>
        <v>1.7827139780891614</v>
      </c>
      <c r="G1167" s="318">
        <v>560.94248000000005</v>
      </c>
      <c r="H1167" s="306" t="s">
        <v>152</v>
      </c>
      <c r="I1167" s="307" t="s">
        <v>2116</v>
      </c>
      <c r="J1167" s="127" t="s">
        <v>97</v>
      </c>
      <c r="K1167" s="127" t="s">
        <v>1903</v>
      </c>
      <c r="L1167" s="145" t="s">
        <v>154</v>
      </c>
      <c r="M1167" s="127"/>
      <c r="N1167" s="127"/>
      <c r="O1167" s="127"/>
    </row>
    <row r="1168" spans="1:15" ht="15.6" hidden="1">
      <c r="A1168" s="334">
        <v>45840</v>
      </c>
      <c r="B1168" s="302" t="s">
        <v>2101</v>
      </c>
      <c r="C1168" s="303" t="s">
        <v>173</v>
      </c>
      <c r="D1168" s="304" t="s">
        <v>118</v>
      </c>
      <c r="E1168" s="305">
        <v>1000</v>
      </c>
      <c r="F1168" s="317">
        <f t="shared" si="3"/>
        <v>1.7827139780891614</v>
      </c>
      <c r="G1168" s="318">
        <v>560.94248000000005</v>
      </c>
      <c r="H1168" s="306" t="s">
        <v>152</v>
      </c>
      <c r="I1168" s="307" t="s">
        <v>2116</v>
      </c>
      <c r="J1168" s="127" t="s">
        <v>97</v>
      </c>
      <c r="K1168" s="127" t="s">
        <v>1903</v>
      </c>
      <c r="L1168" s="145" t="s">
        <v>154</v>
      </c>
      <c r="M1168" s="127"/>
      <c r="N1168" s="127"/>
      <c r="O1168" s="127"/>
    </row>
    <row r="1169" spans="1:15" ht="15.6" hidden="1">
      <c r="A1169" s="334">
        <v>45840</v>
      </c>
      <c r="B1169" s="335" t="s">
        <v>2128</v>
      </c>
      <c r="C1169" s="335" t="s">
        <v>173</v>
      </c>
      <c r="D1169" s="335" t="s">
        <v>117</v>
      </c>
      <c r="E1169" s="324">
        <v>1000</v>
      </c>
      <c r="F1169" s="317">
        <f t="shared" si="3"/>
        <v>1.7827139780891614</v>
      </c>
      <c r="G1169" s="318">
        <v>560.94248000000005</v>
      </c>
      <c r="H1169" s="335" t="s">
        <v>583</v>
      </c>
      <c r="I1169" s="127" t="s">
        <v>2165</v>
      </c>
      <c r="J1169" s="127" t="s">
        <v>97</v>
      </c>
      <c r="K1169" s="127" t="s">
        <v>1903</v>
      </c>
      <c r="L1169" s="145" t="s">
        <v>154</v>
      </c>
      <c r="M1169" s="127"/>
      <c r="N1169" s="127"/>
      <c r="O1169" s="127"/>
    </row>
    <row r="1170" spans="1:15" ht="15.6" hidden="1">
      <c r="A1170" s="334">
        <v>45840</v>
      </c>
      <c r="B1170" s="335" t="s">
        <v>2129</v>
      </c>
      <c r="C1170" s="335" t="s">
        <v>173</v>
      </c>
      <c r="D1170" s="335" t="s">
        <v>117</v>
      </c>
      <c r="E1170" s="324">
        <v>1000</v>
      </c>
      <c r="F1170" s="317">
        <f t="shared" si="3"/>
        <v>1.7827139780891614</v>
      </c>
      <c r="G1170" s="318">
        <v>560.94248000000005</v>
      </c>
      <c r="H1170" s="335" t="s">
        <v>583</v>
      </c>
      <c r="I1170" s="127" t="s">
        <v>2165</v>
      </c>
      <c r="J1170" s="127" t="s">
        <v>97</v>
      </c>
      <c r="K1170" s="127" t="s">
        <v>1903</v>
      </c>
      <c r="L1170" s="145" t="s">
        <v>154</v>
      </c>
      <c r="M1170" s="127"/>
      <c r="N1170" s="127"/>
      <c r="O1170" s="127"/>
    </row>
    <row r="1171" spans="1:15" ht="15.6" hidden="1">
      <c r="A1171" s="334">
        <v>45840</v>
      </c>
      <c r="B1171" s="335" t="s">
        <v>2322</v>
      </c>
      <c r="C1171" s="335" t="s">
        <v>303</v>
      </c>
      <c r="D1171" s="335" t="s">
        <v>117</v>
      </c>
      <c r="E1171" s="324">
        <v>20000</v>
      </c>
      <c r="F1171" s="317">
        <f t="shared" si="3"/>
        <v>35.654279561783227</v>
      </c>
      <c r="G1171" s="318">
        <v>560.94248000000005</v>
      </c>
      <c r="H1171" s="248" t="s">
        <v>583</v>
      </c>
      <c r="I1171" s="129" t="s">
        <v>2166</v>
      </c>
      <c r="J1171" s="127" t="s">
        <v>97</v>
      </c>
      <c r="K1171" s="127" t="s">
        <v>1903</v>
      </c>
      <c r="L1171" s="145" t="s">
        <v>154</v>
      </c>
      <c r="M1171" s="145"/>
      <c r="N1171" s="145"/>
      <c r="O1171" s="127"/>
    </row>
    <row r="1172" spans="1:15" ht="15.6" hidden="1">
      <c r="A1172" s="334">
        <v>45841</v>
      </c>
      <c r="B1172" s="302" t="s">
        <v>2100</v>
      </c>
      <c r="C1172" s="303" t="s">
        <v>173</v>
      </c>
      <c r="D1172" s="304" t="s">
        <v>118</v>
      </c>
      <c r="E1172" s="305">
        <v>1000</v>
      </c>
      <c r="F1172" s="317">
        <f t="shared" si="3"/>
        <v>1.7827139780891614</v>
      </c>
      <c r="G1172" s="318">
        <v>560.94248000000005</v>
      </c>
      <c r="H1172" s="306" t="s">
        <v>152</v>
      </c>
      <c r="I1172" s="307" t="s">
        <v>2116</v>
      </c>
      <c r="J1172" s="127" t="s">
        <v>97</v>
      </c>
      <c r="K1172" s="127" t="s">
        <v>1903</v>
      </c>
      <c r="L1172" s="145" t="s">
        <v>154</v>
      </c>
      <c r="M1172" s="127"/>
      <c r="N1172" s="127"/>
      <c r="O1172" s="127"/>
    </row>
    <row r="1173" spans="1:15" ht="15.6" hidden="1">
      <c r="A1173" s="334">
        <v>45841</v>
      </c>
      <c r="B1173" s="302" t="s">
        <v>2101</v>
      </c>
      <c r="C1173" s="303" t="s">
        <v>173</v>
      </c>
      <c r="D1173" s="304" t="s">
        <v>118</v>
      </c>
      <c r="E1173" s="305">
        <v>1000</v>
      </c>
      <c r="F1173" s="317">
        <f t="shared" si="3"/>
        <v>1.7827139780891614</v>
      </c>
      <c r="G1173" s="318">
        <v>560.94248000000005</v>
      </c>
      <c r="H1173" s="306" t="s">
        <v>152</v>
      </c>
      <c r="I1173" s="307" t="s">
        <v>2116</v>
      </c>
      <c r="J1173" s="127" t="s">
        <v>97</v>
      </c>
      <c r="K1173" s="127" t="s">
        <v>1903</v>
      </c>
      <c r="L1173" s="145" t="s">
        <v>154</v>
      </c>
      <c r="M1173" s="127"/>
      <c r="N1173" s="127"/>
      <c r="O1173" s="127"/>
    </row>
    <row r="1174" spans="1:15" ht="15.6" hidden="1">
      <c r="A1174" s="334">
        <v>45841</v>
      </c>
      <c r="B1174" s="335" t="s">
        <v>2130</v>
      </c>
      <c r="C1174" s="335" t="s">
        <v>173</v>
      </c>
      <c r="D1174" s="335" t="s">
        <v>117</v>
      </c>
      <c r="E1174" s="324">
        <v>1000</v>
      </c>
      <c r="F1174" s="317">
        <f t="shared" si="3"/>
        <v>1.7827139780891614</v>
      </c>
      <c r="G1174" s="318">
        <v>560.94248000000005</v>
      </c>
      <c r="H1174" s="335" t="s">
        <v>583</v>
      </c>
      <c r="I1174" s="127" t="s">
        <v>2165</v>
      </c>
      <c r="J1174" s="127" t="s">
        <v>97</v>
      </c>
      <c r="K1174" s="127" t="s">
        <v>1903</v>
      </c>
      <c r="L1174" s="145" t="s">
        <v>154</v>
      </c>
      <c r="M1174" s="127"/>
      <c r="N1174" s="127"/>
      <c r="O1174" s="127"/>
    </row>
    <row r="1175" spans="1:15" ht="15.6" hidden="1">
      <c r="A1175" s="334">
        <v>45841</v>
      </c>
      <c r="B1175" s="335" t="s">
        <v>2131</v>
      </c>
      <c r="C1175" s="335" t="s">
        <v>173</v>
      </c>
      <c r="D1175" s="335" t="s">
        <v>117</v>
      </c>
      <c r="E1175" s="324">
        <v>1000</v>
      </c>
      <c r="F1175" s="317">
        <f t="shared" si="3"/>
        <v>1.7827139780891614</v>
      </c>
      <c r="G1175" s="318">
        <v>560.94248000000005</v>
      </c>
      <c r="H1175" s="335" t="s">
        <v>583</v>
      </c>
      <c r="I1175" s="127" t="s">
        <v>2165</v>
      </c>
      <c r="J1175" s="127" t="s">
        <v>97</v>
      </c>
      <c r="K1175" s="127" t="s">
        <v>1903</v>
      </c>
      <c r="L1175" s="145" t="s">
        <v>154</v>
      </c>
      <c r="M1175" s="127"/>
      <c r="N1175" s="127"/>
      <c r="O1175" s="127"/>
    </row>
    <row r="1176" spans="1:15" ht="15.6" hidden="1">
      <c r="A1176" s="334">
        <v>45841</v>
      </c>
      <c r="B1176" s="181" t="s">
        <v>2190</v>
      </c>
      <c r="C1176" s="181" t="s">
        <v>173</v>
      </c>
      <c r="D1176" s="181" t="s">
        <v>116</v>
      </c>
      <c r="E1176" s="324">
        <v>1000</v>
      </c>
      <c r="F1176" s="317">
        <f t="shared" si="3"/>
        <v>1.7827139780891614</v>
      </c>
      <c r="G1176" s="318">
        <v>560.94248000000005</v>
      </c>
      <c r="H1176" s="181" t="s">
        <v>192</v>
      </c>
      <c r="I1176" s="181" t="s">
        <v>2201</v>
      </c>
      <c r="J1176" s="127" t="s">
        <v>97</v>
      </c>
      <c r="K1176" s="127" t="s">
        <v>1903</v>
      </c>
      <c r="L1176" s="145" t="s">
        <v>154</v>
      </c>
      <c r="M1176" s="127"/>
      <c r="N1176" s="127"/>
      <c r="O1176" s="127"/>
    </row>
    <row r="1177" spans="1:15" ht="15.6" hidden="1">
      <c r="A1177" s="334">
        <v>45841</v>
      </c>
      <c r="B1177" s="181" t="s">
        <v>2191</v>
      </c>
      <c r="C1177" s="181" t="s">
        <v>173</v>
      </c>
      <c r="D1177" s="181" t="s">
        <v>116</v>
      </c>
      <c r="E1177" s="324">
        <v>1000</v>
      </c>
      <c r="F1177" s="317">
        <f t="shared" si="3"/>
        <v>1.7827139780891614</v>
      </c>
      <c r="G1177" s="318">
        <v>560.94248000000005</v>
      </c>
      <c r="H1177" s="181" t="s">
        <v>192</v>
      </c>
      <c r="I1177" s="181" t="s">
        <v>2201</v>
      </c>
      <c r="J1177" s="127" t="s">
        <v>97</v>
      </c>
      <c r="K1177" s="127" t="s">
        <v>1903</v>
      </c>
      <c r="L1177" s="145" t="s">
        <v>154</v>
      </c>
      <c r="M1177" s="127"/>
      <c r="N1177" s="127"/>
      <c r="O1177" s="127"/>
    </row>
    <row r="1178" spans="1:15" ht="15.6" hidden="1">
      <c r="A1178" s="334">
        <v>45841</v>
      </c>
      <c r="B1178" s="181" t="s">
        <v>2192</v>
      </c>
      <c r="C1178" s="181" t="s">
        <v>173</v>
      </c>
      <c r="D1178" s="181" t="s">
        <v>116</v>
      </c>
      <c r="E1178" s="324">
        <v>1000</v>
      </c>
      <c r="F1178" s="317">
        <f t="shared" si="3"/>
        <v>1.7827139780891614</v>
      </c>
      <c r="G1178" s="318">
        <v>560.94248000000005</v>
      </c>
      <c r="H1178" s="181" t="s">
        <v>192</v>
      </c>
      <c r="I1178" s="181" t="s">
        <v>2201</v>
      </c>
      <c r="J1178" s="127" t="s">
        <v>97</v>
      </c>
      <c r="K1178" s="127" t="s">
        <v>1903</v>
      </c>
      <c r="L1178" s="145" t="s">
        <v>154</v>
      </c>
      <c r="M1178" s="127"/>
      <c r="N1178" s="127"/>
      <c r="O1178" s="127"/>
    </row>
    <row r="1179" spans="1:15" ht="15.6" hidden="1">
      <c r="A1179" s="334">
        <v>45841</v>
      </c>
      <c r="B1179" s="181" t="s">
        <v>2193</v>
      </c>
      <c r="C1179" s="181" t="s">
        <v>173</v>
      </c>
      <c r="D1179" s="181" t="s">
        <v>116</v>
      </c>
      <c r="E1179" s="324">
        <v>1000</v>
      </c>
      <c r="F1179" s="317">
        <f t="shared" si="3"/>
        <v>1.7827139780891614</v>
      </c>
      <c r="G1179" s="318">
        <v>560.94248000000005</v>
      </c>
      <c r="H1179" s="181" t="s">
        <v>192</v>
      </c>
      <c r="I1179" s="181" t="s">
        <v>2201</v>
      </c>
      <c r="J1179" s="127" t="s">
        <v>97</v>
      </c>
      <c r="K1179" s="127" t="s">
        <v>1903</v>
      </c>
      <c r="L1179" s="145" t="s">
        <v>154</v>
      </c>
      <c r="M1179" s="127"/>
      <c r="N1179" s="127"/>
      <c r="O1179" s="127"/>
    </row>
    <row r="1180" spans="1:15" ht="15.6" hidden="1">
      <c r="A1180" s="334">
        <v>45841</v>
      </c>
      <c r="B1180" s="179" t="s">
        <v>2243</v>
      </c>
      <c r="C1180" s="179" t="s">
        <v>122</v>
      </c>
      <c r="D1180" s="179" t="s">
        <v>116</v>
      </c>
      <c r="E1180" s="332">
        <v>300000</v>
      </c>
      <c r="F1180" s="317">
        <f t="shared" si="3"/>
        <v>534.81419342674849</v>
      </c>
      <c r="G1180" s="318">
        <v>560.94248000000005</v>
      </c>
      <c r="H1180" s="335" t="s">
        <v>147</v>
      </c>
      <c r="I1180" s="127" t="s">
        <v>2244</v>
      </c>
      <c r="J1180" s="127" t="s">
        <v>97</v>
      </c>
      <c r="K1180" s="127" t="s">
        <v>1903</v>
      </c>
      <c r="L1180" s="145" t="s">
        <v>154</v>
      </c>
      <c r="M1180" s="127"/>
      <c r="N1180" s="127"/>
      <c r="O1180" s="127"/>
    </row>
    <row r="1181" spans="1:15" ht="15.6" hidden="1">
      <c r="A1181" s="334">
        <v>45841</v>
      </c>
      <c r="B1181" s="328" t="s">
        <v>2245</v>
      </c>
      <c r="C1181" s="179" t="s">
        <v>122</v>
      </c>
      <c r="D1181" s="179" t="s">
        <v>116</v>
      </c>
      <c r="E1181" s="332">
        <v>300000</v>
      </c>
      <c r="F1181" s="317">
        <f t="shared" si="3"/>
        <v>534.81419342674849</v>
      </c>
      <c r="G1181" s="318">
        <v>560.94248000000005</v>
      </c>
      <c r="H1181" s="335" t="s">
        <v>147</v>
      </c>
      <c r="I1181" s="127" t="s">
        <v>2246</v>
      </c>
      <c r="J1181" s="127" t="s">
        <v>97</v>
      </c>
      <c r="K1181" s="127" t="s">
        <v>1903</v>
      </c>
      <c r="L1181" s="145" t="s">
        <v>154</v>
      </c>
      <c r="M1181" s="127"/>
      <c r="N1181" s="127"/>
      <c r="O1181" s="127"/>
    </row>
    <row r="1182" spans="1:15" ht="15.6" hidden="1">
      <c r="A1182" s="334">
        <v>45841</v>
      </c>
      <c r="B1182" s="179" t="s">
        <v>2247</v>
      </c>
      <c r="C1182" s="179" t="s">
        <v>303</v>
      </c>
      <c r="D1182" s="336" t="s">
        <v>117</v>
      </c>
      <c r="E1182" s="332">
        <v>260000</v>
      </c>
      <c r="F1182" s="317">
        <f t="shared" si="3"/>
        <v>463.50563430318198</v>
      </c>
      <c r="G1182" s="318">
        <v>560.94248000000005</v>
      </c>
      <c r="H1182" s="335" t="s">
        <v>147</v>
      </c>
      <c r="I1182" s="127" t="s">
        <v>2248</v>
      </c>
      <c r="J1182" s="127" t="s">
        <v>97</v>
      </c>
      <c r="K1182" s="127" t="s">
        <v>1903</v>
      </c>
      <c r="L1182" s="145" t="s">
        <v>154</v>
      </c>
      <c r="M1182" s="127"/>
      <c r="N1182" s="127"/>
      <c r="O1182" s="127"/>
    </row>
    <row r="1183" spans="1:15" ht="15.6" hidden="1">
      <c r="A1183" s="334">
        <v>45842</v>
      </c>
      <c r="B1183" s="302" t="s">
        <v>2100</v>
      </c>
      <c r="C1183" s="303" t="s">
        <v>173</v>
      </c>
      <c r="D1183" s="304" t="s">
        <v>118</v>
      </c>
      <c r="E1183" s="305">
        <v>1000</v>
      </c>
      <c r="F1183" s="317">
        <f t="shared" si="3"/>
        <v>1.7827139780891614</v>
      </c>
      <c r="G1183" s="318">
        <v>560.94248000000005</v>
      </c>
      <c r="H1183" s="306" t="s">
        <v>152</v>
      </c>
      <c r="I1183" s="307" t="s">
        <v>2116</v>
      </c>
      <c r="J1183" s="127" t="s">
        <v>97</v>
      </c>
      <c r="K1183" s="127" t="s">
        <v>1903</v>
      </c>
      <c r="L1183" s="145" t="s">
        <v>154</v>
      </c>
      <c r="M1183" s="127"/>
      <c r="N1183" s="127"/>
      <c r="O1183" s="127"/>
    </row>
    <row r="1184" spans="1:15" ht="15.6" hidden="1">
      <c r="A1184" s="334">
        <v>45842</v>
      </c>
      <c r="B1184" s="302" t="s">
        <v>2101</v>
      </c>
      <c r="C1184" s="303" t="s">
        <v>173</v>
      </c>
      <c r="D1184" s="304" t="s">
        <v>118</v>
      </c>
      <c r="E1184" s="305">
        <v>1000</v>
      </c>
      <c r="F1184" s="317">
        <f t="shared" si="3"/>
        <v>1.7827139780891614</v>
      </c>
      <c r="G1184" s="318">
        <v>560.94248000000005</v>
      </c>
      <c r="H1184" s="306" t="s">
        <v>152</v>
      </c>
      <c r="I1184" s="307" t="s">
        <v>2116</v>
      </c>
      <c r="J1184" s="127" t="s">
        <v>97</v>
      </c>
      <c r="K1184" s="127" t="s">
        <v>1903</v>
      </c>
      <c r="L1184" s="145" t="s">
        <v>154</v>
      </c>
      <c r="M1184" s="127"/>
      <c r="N1184" s="127"/>
      <c r="O1184" s="127"/>
    </row>
    <row r="1185" spans="1:15" ht="15.6" hidden="1">
      <c r="A1185" s="334">
        <v>45843</v>
      </c>
      <c r="B1185" s="302" t="s">
        <v>2100</v>
      </c>
      <c r="C1185" s="303" t="s">
        <v>173</v>
      </c>
      <c r="D1185" s="304" t="s">
        <v>118</v>
      </c>
      <c r="E1185" s="305">
        <v>1000</v>
      </c>
      <c r="F1185" s="317">
        <f t="shared" si="3"/>
        <v>1.7827139780891614</v>
      </c>
      <c r="G1185" s="318">
        <v>560.94248000000005</v>
      </c>
      <c r="H1185" s="306" t="s">
        <v>152</v>
      </c>
      <c r="I1185" s="307" t="s">
        <v>2116</v>
      </c>
      <c r="J1185" s="127" t="s">
        <v>97</v>
      </c>
      <c r="K1185" s="127" t="s">
        <v>1903</v>
      </c>
      <c r="L1185" s="145" t="s">
        <v>154</v>
      </c>
      <c r="M1185" s="127"/>
      <c r="N1185" s="127"/>
      <c r="O1185" s="127"/>
    </row>
    <row r="1186" spans="1:15" ht="15.6" hidden="1">
      <c r="A1186" s="334">
        <v>45843</v>
      </c>
      <c r="B1186" s="302" t="s">
        <v>2101</v>
      </c>
      <c r="C1186" s="303" t="s">
        <v>173</v>
      </c>
      <c r="D1186" s="304" t="s">
        <v>118</v>
      </c>
      <c r="E1186" s="305">
        <v>1000</v>
      </c>
      <c r="F1186" s="317">
        <f t="shared" si="3"/>
        <v>1.7827139780891614</v>
      </c>
      <c r="G1186" s="318">
        <v>560.94248000000005</v>
      </c>
      <c r="H1186" s="306" t="s">
        <v>152</v>
      </c>
      <c r="I1186" s="307" t="s">
        <v>2116</v>
      </c>
      <c r="J1186" s="127" t="s">
        <v>97</v>
      </c>
      <c r="K1186" s="127" t="s">
        <v>1903</v>
      </c>
      <c r="L1186" s="145" t="s">
        <v>154</v>
      </c>
      <c r="M1186" s="127"/>
      <c r="N1186" s="127"/>
      <c r="O1186" s="127"/>
    </row>
    <row r="1187" spans="1:15" ht="15.6" hidden="1">
      <c r="A1187" s="334">
        <v>45844</v>
      </c>
      <c r="B1187" s="302" t="s">
        <v>2100</v>
      </c>
      <c r="C1187" s="303" t="s">
        <v>173</v>
      </c>
      <c r="D1187" s="304" t="s">
        <v>118</v>
      </c>
      <c r="E1187" s="305">
        <v>1000</v>
      </c>
      <c r="F1187" s="317">
        <f t="shared" si="3"/>
        <v>1.7827139780891614</v>
      </c>
      <c r="G1187" s="318">
        <v>560.94248000000005</v>
      </c>
      <c r="H1187" s="306" t="s">
        <v>152</v>
      </c>
      <c r="I1187" s="307" t="s">
        <v>2116</v>
      </c>
      <c r="J1187" s="127" t="s">
        <v>97</v>
      </c>
      <c r="K1187" s="127" t="s">
        <v>1903</v>
      </c>
      <c r="L1187" s="145" t="s">
        <v>154</v>
      </c>
      <c r="M1187" s="127"/>
      <c r="N1187" s="127"/>
      <c r="O1187" s="127"/>
    </row>
    <row r="1188" spans="1:15" ht="15.6" hidden="1">
      <c r="A1188" s="334">
        <v>45844</v>
      </c>
      <c r="B1188" s="302" t="s">
        <v>2101</v>
      </c>
      <c r="C1188" s="303" t="s">
        <v>173</v>
      </c>
      <c r="D1188" s="304" t="s">
        <v>118</v>
      </c>
      <c r="E1188" s="305">
        <v>1000</v>
      </c>
      <c r="F1188" s="317">
        <f t="shared" si="3"/>
        <v>1.7827139780891614</v>
      </c>
      <c r="G1188" s="318">
        <v>560.94248000000005</v>
      </c>
      <c r="H1188" s="306" t="s">
        <v>152</v>
      </c>
      <c r="I1188" s="307" t="s">
        <v>2116</v>
      </c>
      <c r="J1188" s="127" t="s">
        <v>97</v>
      </c>
      <c r="K1188" s="127" t="s">
        <v>1903</v>
      </c>
      <c r="L1188" s="145" t="s">
        <v>154</v>
      </c>
      <c r="M1188" s="127"/>
      <c r="N1188" s="127"/>
      <c r="O1188" s="127"/>
    </row>
    <row r="1189" spans="1:15" ht="15.6" hidden="1">
      <c r="A1189" s="334">
        <v>45845</v>
      </c>
      <c r="B1189" s="302" t="s">
        <v>2100</v>
      </c>
      <c r="C1189" s="303" t="s">
        <v>173</v>
      </c>
      <c r="D1189" s="304" t="s">
        <v>118</v>
      </c>
      <c r="E1189" s="305">
        <v>1000</v>
      </c>
      <c r="F1189" s="317">
        <f t="shared" si="3"/>
        <v>1.7827139780891614</v>
      </c>
      <c r="G1189" s="318">
        <v>560.94248000000005</v>
      </c>
      <c r="H1189" s="306" t="s">
        <v>152</v>
      </c>
      <c r="I1189" s="307" t="s">
        <v>2116</v>
      </c>
      <c r="J1189" s="127" t="s">
        <v>97</v>
      </c>
      <c r="K1189" s="127" t="s">
        <v>1903</v>
      </c>
      <c r="L1189" s="145" t="s">
        <v>154</v>
      </c>
      <c r="M1189" s="127"/>
      <c r="N1189" s="127"/>
      <c r="O1189" s="127"/>
    </row>
    <row r="1190" spans="1:15" ht="15.6" hidden="1">
      <c r="A1190" s="334">
        <v>45845</v>
      </c>
      <c r="B1190" s="302" t="s">
        <v>2101</v>
      </c>
      <c r="C1190" s="303" t="s">
        <v>173</v>
      </c>
      <c r="D1190" s="304" t="s">
        <v>118</v>
      </c>
      <c r="E1190" s="305">
        <v>1000</v>
      </c>
      <c r="F1190" s="317">
        <f t="shared" si="3"/>
        <v>1.7827139780891614</v>
      </c>
      <c r="G1190" s="318">
        <v>560.94248000000005</v>
      </c>
      <c r="H1190" s="306" t="s">
        <v>152</v>
      </c>
      <c r="I1190" s="307" t="s">
        <v>2116</v>
      </c>
      <c r="J1190" s="127" t="s">
        <v>97</v>
      </c>
      <c r="K1190" s="127" t="s">
        <v>1903</v>
      </c>
      <c r="L1190" s="145" t="s">
        <v>154</v>
      </c>
      <c r="M1190" s="127"/>
      <c r="N1190" s="127"/>
      <c r="O1190" s="127"/>
    </row>
    <row r="1191" spans="1:15" ht="15.6" hidden="1">
      <c r="A1191" s="334">
        <v>45846</v>
      </c>
      <c r="B1191" s="302" t="s">
        <v>2102</v>
      </c>
      <c r="C1191" s="303" t="s">
        <v>126</v>
      </c>
      <c r="D1191" s="304" t="s">
        <v>118</v>
      </c>
      <c r="E1191" s="302">
        <v>174625</v>
      </c>
      <c r="F1191" s="317">
        <f t="shared" si="3"/>
        <v>311.30642842381985</v>
      </c>
      <c r="G1191" s="318">
        <v>560.94248000000005</v>
      </c>
      <c r="H1191" s="306" t="s">
        <v>152</v>
      </c>
      <c r="I1191" s="302" t="s">
        <v>2117</v>
      </c>
      <c r="J1191" s="127" t="s">
        <v>97</v>
      </c>
      <c r="K1191" s="127" t="s">
        <v>1903</v>
      </c>
      <c r="L1191" s="145" t="s">
        <v>154</v>
      </c>
      <c r="M1191" s="127"/>
      <c r="N1191" s="127"/>
      <c r="O1191" s="127"/>
    </row>
    <row r="1192" spans="1:15" ht="15.6" hidden="1">
      <c r="A1192" s="334">
        <v>45846</v>
      </c>
      <c r="B1192" s="302" t="s">
        <v>2103</v>
      </c>
      <c r="C1192" s="303" t="s">
        <v>173</v>
      </c>
      <c r="D1192" s="304" t="s">
        <v>118</v>
      </c>
      <c r="E1192" s="302">
        <v>1000</v>
      </c>
      <c r="F1192" s="317">
        <f t="shared" si="3"/>
        <v>1.7827139780891614</v>
      </c>
      <c r="G1192" s="318">
        <v>560.94248000000005</v>
      </c>
      <c r="H1192" s="306" t="s">
        <v>152</v>
      </c>
      <c r="I1192" s="307" t="s">
        <v>2116</v>
      </c>
      <c r="J1192" s="127" t="s">
        <v>97</v>
      </c>
      <c r="K1192" s="127" t="s">
        <v>1903</v>
      </c>
      <c r="L1192" s="145" t="s">
        <v>154</v>
      </c>
      <c r="M1192" s="127"/>
      <c r="N1192" s="127"/>
      <c r="O1192" s="127"/>
    </row>
    <row r="1193" spans="1:15" ht="15.6" hidden="1">
      <c r="A1193" s="334">
        <v>45846</v>
      </c>
      <c r="B1193" s="302" t="s">
        <v>2101</v>
      </c>
      <c r="C1193" s="303" t="s">
        <v>173</v>
      </c>
      <c r="D1193" s="304" t="s">
        <v>118</v>
      </c>
      <c r="E1193" s="302">
        <v>1000</v>
      </c>
      <c r="F1193" s="317">
        <f t="shared" si="3"/>
        <v>1.7827139780891614</v>
      </c>
      <c r="G1193" s="318">
        <v>560.94248000000005</v>
      </c>
      <c r="H1193" s="306" t="s">
        <v>152</v>
      </c>
      <c r="I1193" s="307" t="s">
        <v>2116</v>
      </c>
      <c r="J1193" s="127" t="s">
        <v>97</v>
      </c>
      <c r="K1193" s="127" t="s">
        <v>1903</v>
      </c>
      <c r="L1193" s="145" t="s">
        <v>154</v>
      </c>
      <c r="M1193" s="127"/>
      <c r="N1193" s="127"/>
      <c r="O1193" s="127"/>
    </row>
    <row r="1194" spans="1:15" ht="15.6" hidden="1">
      <c r="A1194" s="334">
        <v>45846</v>
      </c>
      <c r="B1194" s="181" t="s">
        <v>2194</v>
      </c>
      <c r="C1194" s="181" t="s">
        <v>171</v>
      </c>
      <c r="D1194" s="335" t="s">
        <v>117</v>
      </c>
      <c r="E1194" s="324">
        <v>2000</v>
      </c>
      <c r="F1194" s="317">
        <f t="shared" si="3"/>
        <v>3.5654279561783229</v>
      </c>
      <c r="G1194" s="318">
        <v>560.94248000000005</v>
      </c>
      <c r="H1194" s="248" t="s">
        <v>192</v>
      </c>
      <c r="I1194" s="248" t="s">
        <v>2202</v>
      </c>
      <c r="J1194" s="127" t="s">
        <v>97</v>
      </c>
      <c r="K1194" s="127" t="s">
        <v>1903</v>
      </c>
      <c r="L1194" s="145" t="s">
        <v>154</v>
      </c>
      <c r="M1194" s="127"/>
      <c r="N1194" s="127"/>
      <c r="O1194" s="127"/>
    </row>
    <row r="1195" spans="1:15" ht="15.6" hidden="1">
      <c r="A1195" s="334">
        <v>45847</v>
      </c>
      <c r="B1195" s="302" t="s">
        <v>2104</v>
      </c>
      <c r="C1195" s="303" t="s">
        <v>173</v>
      </c>
      <c r="D1195" s="304" t="s">
        <v>118</v>
      </c>
      <c r="E1195" s="302">
        <v>1000</v>
      </c>
      <c r="F1195" s="317">
        <f t="shared" si="3"/>
        <v>1.7827139780891614</v>
      </c>
      <c r="G1195" s="318">
        <v>560.94248000000005</v>
      </c>
      <c r="H1195" s="306" t="s">
        <v>152</v>
      </c>
      <c r="I1195" s="307" t="s">
        <v>2116</v>
      </c>
      <c r="J1195" s="127" t="s">
        <v>97</v>
      </c>
      <c r="K1195" s="127" t="s">
        <v>1903</v>
      </c>
      <c r="L1195" s="145" t="s">
        <v>154</v>
      </c>
      <c r="M1195" s="127"/>
      <c r="N1195" s="127"/>
      <c r="O1195" s="127"/>
    </row>
    <row r="1196" spans="1:15" ht="15.6" hidden="1">
      <c r="A1196" s="334">
        <v>45847</v>
      </c>
      <c r="B1196" s="302" t="s">
        <v>2105</v>
      </c>
      <c r="C1196" s="303" t="s">
        <v>173</v>
      </c>
      <c r="D1196" s="304" t="s">
        <v>118</v>
      </c>
      <c r="E1196" s="302">
        <v>1000</v>
      </c>
      <c r="F1196" s="317">
        <f t="shared" si="3"/>
        <v>1.7827139780891614</v>
      </c>
      <c r="G1196" s="318">
        <v>560.94248000000005</v>
      </c>
      <c r="H1196" s="306" t="s">
        <v>152</v>
      </c>
      <c r="I1196" s="307" t="s">
        <v>2116</v>
      </c>
      <c r="J1196" s="127" t="s">
        <v>97</v>
      </c>
      <c r="K1196" s="127" t="s">
        <v>1903</v>
      </c>
      <c r="L1196" s="145" t="s">
        <v>154</v>
      </c>
      <c r="M1196" s="127"/>
      <c r="N1196" s="127"/>
      <c r="O1196" s="127"/>
    </row>
    <row r="1197" spans="1:15" ht="15.6" hidden="1">
      <c r="A1197" s="334">
        <v>45847</v>
      </c>
      <c r="B1197" s="302" t="s">
        <v>2101</v>
      </c>
      <c r="C1197" s="303" t="s">
        <v>173</v>
      </c>
      <c r="D1197" s="304" t="s">
        <v>118</v>
      </c>
      <c r="E1197" s="302">
        <v>1000</v>
      </c>
      <c r="F1197" s="317">
        <f t="shared" si="3"/>
        <v>1.7827139780891614</v>
      </c>
      <c r="G1197" s="318">
        <v>560.94248000000005</v>
      </c>
      <c r="H1197" s="306" t="s">
        <v>152</v>
      </c>
      <c r="I1197" s="307" t="s">
        <v>2116</v>
      </c>
      <c r="J1197" s="127" t="s">
        <v>97</v>
      </c>
      <c r="K1197" s="127" t="s">
        <v>1903</v>
      </c>
      <c r="L1197" s="145" t="s">
        <v>154</v>
      </c>
      <c r="M1197" s="127"/>
      <c r="N1197" s="127"/>
      <c r="O1197" s="127"/>
    </row>
    <row r="1198" spans="1:15" ht="15.6" hidden="1">
      <c r="A1198" s="334">
        <v>45847</v>
      </c>
      <c r="B1198" s="337" t="s">
        <v>2333</v>
      </c>
      <c r="C1198" s="338" t="s">
        <v>173</v>
      </c>
      <c r="D1198" s="337" t="s">
        <v>116</v>
      </c>
      <c r="E1198" s="338">
        <v>1000</v>
      </c>
      <c r="F1198" s="317">
        <f t="shared" si="3"/>
        <v>1.7827139780891614</v>
      </c>
      <c r="G1198" s="318">
        <v>560.94248000000005</v>
      </c>
      <c r="H1198" s="339" t="s">
        <v>199</v>
      </c>
      <c r="I1198" s="311" t="s">
        <v>2127</v>
      </c>
      <c r="J1198" s="127" t="s">
        <v>97</v>
      </c>
      <c r="K1198" s="127" t="s">
        <v>1903</v>
      </c>
      <c r="L1198" s="145" t="s">
        <v>154</v>
      </c>
      <c r="M1198" s="127"/>
      <c r="N1198" s="127"/>
      <c r="O1198" s="127"/>
    </row>
    <row r="1199" spans="1:15" ht="15.6" hidden="1">
      <c r="A1199" s="334">
        <v>45847</v>
      </c>
      <c r="B1199" s="337" t="s">
        <v>2118</v>
      </c>
      <c r="C1199" s="338" t="s">
        <v>173</v>
      </c>
      <c r="D1199" s="337" t="s">
        <v>116</v>
      </c>
      <c r="E1199" s="338">
        <v>1000</v>
      </c>
      <c r="F1199" s="317">
        <f t="shared" si="3"/>
        <v>1.7827139780891614</v>
      </c>
      <c r="G1199" s="318">
        <v>560.94248000000005</v>
      </c>
      <c r="H1199" s="339" t="s">
        <v>199</v>
      </c>
      <c r="I1199" s="311" t="s">
        <v>2127</v>
      </c>
      <c r="J1199" s="127" t="s">
        <v>97</v>
      </c>
      <c r="K1199" s="127" t="s">
        <v>1903</v>
      </c>
      <c r="L1199" s="145" t="s">
        <v>154</v>
      </c>
      <c r="M1199" s="127"/>
      <c r="N1199" s="127"/>
      <c r="O1199" s="127"/>
    </row>
    <row r="1200" spans="1:15" ht="15.6" hidden="1">
      <c r="A1200" s="334">
        <v>45848</v>
      </c>
      <c r="B1200" s="302" t="s">
        <v>2100</v>
      </c>
      <c r="C1200" s="303" t="s">
        <v>173</v>
      </c>
      <c r="D1200" s="304" t="s">
        <v>118</v>
      </c>
      <c r="E1200" s="302">
        <v>1000</v>
      </c>
      <c r="F1200" s="317">
        <f t="shared" si="3"/>
        <v>1.7827139780891614</v>
      </c>
      <c r="G1200" s="318">
        <v>560.94248000000005</v>
      </c>
      <c r="H1200" s="306" t="s">
        <v>152</v>
      </c>
      <c r="I1200" s="307" t="s">
        <v>2116</v>
      </c>
      <c r="J1200" s="127" t="s">
        <v>97</v>
      </c>
      <c r="K1200" s="127" t="s">
        <v>1903</v>
      </c>
      <c r="L1200" s="145" t="s">
        <v>154</v>
      </c>
      <c r="M1200" s="127"/>
      <c r="N1200" s="127"/>
      <c r="O1200" s="127"/>
    </row>
    <row r="1201" spans="1:15" ht="15.6" hidden="1">
      <c r="A1201" s="334">
        <v>45848</v>
      </c>
      <c r="B1201" s="302" t="s">
        <v>2101</v>
      </c>
      <c r="C1201" s="303" t="s">
        <v>173</v>
      </c>
      <c r="D1201" s="304" t="s">
        <v>118</v>
      </c>
      <c r="E1201" s="302">
        <v>1000</v>
      </c>
      <c r="F1201" s="317">
        <f t="shared" si="3"/>
        <v>1.7827139780891614</v>
      </c>
      <c r="G1201" s="318">
        <v>560.94248000000005</v>
      </c>
      <c r="H1201" s="306" t="s">
        <v>152</v>
      </c>
      <c r="I1201" s="307" t="s">
        <v>2116</v>
      </c>
      <c r="J1201" s="127" t="s">
        <v>97</v>
      </c>
      <c r="K1201" s="127" t="s">
        <v>1903</v>
      </c>
      <c r="L1201" s="145" t="s">
        <v>154</v>
      </c>
      <c r="M1201" s="127"/>
      <c r="N1201" s="127"/>
      <c r="O1201" s="127"/>
    </row>
    <row r="1202" spans="1:15" ht="15.6" hidden="1">
      <c r="A1202" s="334">
        <v>45848</v>
      </c>
      <c r="B1202" s="335" t="s">
        <v>2323</v>
      </c>
      <c r="C1202" s="335" t="s">
        <v>1554</v>
      </c>
      <c r="D1202" s="335" t="s">
        <v>442</v>
      </c>
      <c r="E1202" s="324">
        <v>-60000</v>
      </c>
      <c r="F1202" s="317">
        <f t="shared" si="3"/>
        <v>-106.96283868534969</v>
      </c>
      <c r="G1202" s="318">
        <v>560.94248000000005</v>
      </c>
      <c r="H1202" s="248" t="s">
        <v>583</v>
      </c>
      <c r="I1202" s="129" t="s">
        <v>2167</v>
      </c>
      <c r="J1202" s="127" t="s">
        <v>97</v>
      </c>
      <c r="K1202" s="127" t="s">
        <v>1903</v>
      </c>
      <c r="L1202" s="145" t="s">
        <v>154</v>
      </c>
      <c r="M1202" s="127"/>
      <c r="N1202" s="127"/>
      <c r="O1202" s="127"/>
    </row>
    <row r="1203" spans="1:15" ht="15.6" hidden="1">
      <c r="A1203" s="334">
        <v>45849</v>
      </c>
      <c r="B1203" s="302" t="s">
        <v>2100</v>
      </c>
      <c r="C1203" s="303" t="s">
        <v>173</v>
      </c>
      <c r="D1203" s="304" t="s">
        <v>118</v>
      </c>
      <c r="E1203" s="302">
        <v>1000</v>
      </c>
      <c r="F1203" s="317">
        <f t="shared" si="3"/>
        <v>1.7827139780891614</v>
      </c>
      <c r="G1203" s="318">
        <v>560.94248000000005</v>
      </c>
      <c r="H1203" s="306" t="s">
        <v>152</v>
      </c>
      <c r="I1203" s="307" t="s">
        <v>2116</v>
      </c>
      <c r="J1203" s="127" t="s">
        <v>97</v>
      </c>
      <c r="K1203" s="127" t="s">
        <v>1903</v>
      </c>
      <c r="L1203" s="145" t="s">
        <v>154</v>
      </c>
      <c r="M1203" s="127"/>
      <c r="N1203" s="127"/>
      <c r="O1203" s="127"/>
    </row>
    <row r="1204" spans="1:15" ht="15.6" hidden="1">
      <c r="A1204" s="334">
        <v>45849</v>
      </c>
      <c r="B1204" s="302" t="s">
        <v>2101</v>
      </c>
      <c r="C1204" s="303" t="s">
        <v>173</v>
      </c>
      <c r="D1204" s="304" t="s">
        <v>118</v>
      </c>
      <c r="E1204" s="302">
        <v>1000</v>
      </c>
      <c r="F1204" s="317">
        <f t="shared" si="3"/>
        <v>1.7827139780891614</v>
      </c>
      <c r="G1204" s="318">
        <v>560.94248000000005</v>
      </c>
      <c r="H1204" s="306" t="s">
        <v>152</v>
      </c>
      <c r="I1204" s="307" t="s">
        <v>2116</v>
      </c>
      <c r="J1204" s="127" t="s">
        <v>97</v>
      </c>
      <c r="K1204" s="127" t="s">
        <v>1903</v>
      </c>
      <c r="L1204" s="145" t="s">
        <v>154</v>
      </c>
      <c r="M1204" s="127"/>
      <c r="N1204" s="127"/>
      <c r="O1204" s="127"/>
    </row>
    <row r="1205" spans="1:15" ht="15.6" hidden="1">
      <c r="A1205" s="334">
        <v>45849</v>
      </c>
      <c r="B1205" s="337" t="s">
        <v>2119</v>
      </c>
      <c r="C1205" s="338" t="s">
        <v>173</v>
      </c>
      <c r="D1205" s="337" t="s">
        <v>116</v>
      </c>
      <c r="E1205" s="338">
        <v>1000</v>
      </c>
      <c r="F1205" s="317">
        <f t="shared" si="3"/>
        <v>1.7827139780891614</v>
      </c>
      <c r="G1205" s="318">
        <v>560.94248000000005</v>
      </c>
      <c r="H1205" s="339" t="s">
        <v>199</v>
      </c>
      <c r="I1205" s="311" t="s">
        <v>2127</v>
      </c>
      <c r="J1205" s="127" t="s">
        <v>97</v>
      </c>
      <c r="K1205" s="127" t="s">
        <v>1903</v>
      </c>
      <c r="L1205" s="145" t="s">
        <v>154</v>
      </c>
      <c r="M1205" s="127"/>
      <c r="N1205" s="127"/>
      <c r="O1205" s="127"/>
    </row>
    <row r="1206" spans="1:15" ht="15.6" hidden="1">
      <c r="A1206" s="334">
        <v>45849</v>
      </c>
      <c r="B1206" s="337" t="s">
        <v>2118</v>
      </c>
      <c r="C1206" s="338" t="s">
        <v>173</v>
      </c>
      <c r="D1206" s="337" t="s">
        <v>116</v>
      </c>
      <c r="E1206" s="338">
        <v>1000</v>
      </c>
      <c r="F1206" s="317">
        <f t="shared" si="3"/>
        <v>1.7827139780891614</v>
      </c>
      <c r="G1206" s="318">
        <v>560.94248000000005</v>
      </c>
      <c r="H1206" s="339" t="s">
        <v>199</v>
      </c>
      <c r="I1206" s="311" t="s">
        <v>2127</v>
      </c>
      <c r="J1206" s="127" t="s">
        <v>97</v>
      </c>
      <c r="K1206" s="127" t="s">
        <v>1903</v>
      </c>
      <c r="L1206" s="145" t="s">
        <v>154</v>
      </c>
      <c r="M1206" s="127"/>
      <c r="N1206" s="127"/>
      <c r="O1206" s="127"/>
    </row>
    <row r="1207" spans="1:15" ht="15.6" hidden="1">
      <c r="A1207" s="334">
        <v>45849</v>
      </c>
      <c r="B1207" s="335" t="s">
        <v>2132</v>
      </c>
      <c r="C1207" s="335" t="s">
        <v>173</v>
      </c>
      <c r="D1207" s="335" t="s">
        <v>117</v>
      </c>
      <c r="E1207" s="324">
        <v>1000</v>
      </c>
      <c r="F1207" s="317">
        <f t="shared" si="3"/>
        <v>1.7827139780891614</v>
      </c>
      <c r="G1207" s="318">
        <v>560.94248000000005</v>
      </c>
      <c r="H1207" s="335" t="s">
        <v>583</v>
      </c>
      <c r="I1207" s="127" t="s">
        <v>2165</v>
      </c>
      <c r="J1207" s="127" t="s">
        <v>97</v>
      </c>
      <c r="K1207" s="127" t="s">
        <v>1903</v>
      </c>
      <c r="L1207" s="145" t="s">
        <v>154</v>
      </c>
      <c r="M1207" s="127"/>
      <c r="N1207" s="127"/>
      <c r="O1207" s="127"/>
    </row>
    <row r="1208" spans="1:15" ht="15.6" hidden="1">
      <c r="A1208" s="334">
        <v>45849</v>
      </c>
      <c r="B1208" s="335" t="s">
        <v>2133</v>
      </c>
      <c r="C1208" s="335" t="s">
        <v>173</v>
      </c>
      <c r="D1208" s="335" t="s">
        <v>117</v>
      </c>
      <c r="E1208" s="324">
        <v>1000</v>
      </c>
      <c r="F1208" s="317">
        <f t="shared" si="3"/>
        <v>1.7827139780891614</v>
      </c>
      <c r="G1208" s="318">
        <v>560.94248000000005</v>
      </c>
      <c r="H1208" s="335" t="s">
        <v>583</v>
      </c>
      <c r="I1208" s="127" t="s">
        <v>2165</v>
      </c>
      <c r="J1208" s="127" t="s">
        <v>97</v>
      </c>
      <c r="K1208" s="127" t="s">
        <v>1903</v>
      </c>
      <c r="L1208" s="145" t="s">
        <v>154</v>
      </c>
      <c r="M1208" s="127"/>
      <c r="N1208" s="127"/>
      <c r="O1208" s="127"/>
    </row>
    <row r="1209" spans="1:15" ht="15.6" hidden="1">
      <c r="A1209" s="334">
        <v>45849</v>
      </c>
      <c r="B1209" s="335" t="s">
        <v>2134</v>
      </c>
      <c r="C1209" s="335" t="s">
        <v>173</v>
      </c>
      <c r="D1209" s="335" t="s">
        <v>117</v>
      </c>
      <c r="E1209" s="324">
        <v>1000</v>
      </c>
      <c r="F1209" s="317">
        <f t="shared" si="3"/>
        <v>1.7827139780891614</v>
      </c>
      <c r="G1209" s="318">
        <v>560.94248000000005</v>
      </c>
      <c r="H1209" s="335" t="s">
        <v>583</v>
      </c>
      <c r="I1209" s="127" t="s">
        <v>2165</v>
      </c>
      <c r="J1209" s="127" t="s">
        <v>97</v>
      </c>
      <c r="K1209" s="127" t="s">
        <v>1903</v>
      </c>
      <c r="L1209" s="145" t="s">
        <v>154</v>
      </c>
      <c r="M1209" s="127"/>
      <c r="N1209" s="127"/>
      <c r="O1209" s="127"/>
    </row>
    <row r="1210" spans="1:15" ht="15.6" hidden="1">
      <c r="A1210" s="334">
        <v>45849</v>
      </c>
      <c r="B1210" s="335" t="s">
        <v>2135</v>
      </c>
      <c r="C1210" s="335" t="s">
        <v>173</v>
      </c>
      <c r="D1210" s="335" t="s">
        <v>117</v>
      </c>
      <c r="E1210" s="324">
        <v>1000</v>
      </c>
      <c r="F1210" s="317">
        <f t="shared" si="3"/>
        <v>1.7827139780891614</v>
      </c>
      <c r="G1210" s="318">
        <v>560.94248000000005</v>
      </c>
      <c r="H1210" s="335" t="s">
        <v>583</v>
      </c>
      <c r="I1210" s="127" t="s">
        <v>2165</v>
      </c>
      <c r="J1210" s="127" t="s">
        <v>97</v>
      </c>
      <c r="K1210" s="127" t="s">
        <v>1903</v>
      </c>
      <c r="L1210" s="145" t="s">
        <v>154</v>
      </c>
      <c r="M1210" s="127"/>
      <c r="N1210" s="127"/>
      <c r="O1210" s="127"/>
    </row>
    <row r="1211" spans="1:15" ht="15.6" hidden="1">
      <c r="A1211" s="334">
        <v>45849</v>
      </c>
      <c r="B1211" s="328" t="s">
        <v>1913</v>
      </c>
      <c r="C1211" s="179" t="s">
        <v>125</v>
      </c>
      <c r="D1211" s="336" t="s">
        <v>117</v>
      </c>
      <c r="E1211" s="332">
        <v>500000</v>
      </c>
      <c r="F1211" s="317">
        <f t="shared" si="3"/>
        <v>891.3569890445807</v>
      </c>
      <c r="G1211" s="318">
        <v>560.94248000000005</v>
      </c>
      <c r="H1211" s="335" t="s">
        <v>147</v>
      </c>
      <c r="I1211" s="127" t="s">
        <v>2249</v>
      </c>
      <c r="J1211" s="127" t="s">
        <v>97</v>
      </c>
      <c r="K1211" s="127" t="s">
        <v>1903</v>
      </c>
      <c r="L1211" s="145" t="s">
        <v>154</v>
      </c>
      <c r="M1211" s="127"/>
      <c r="N1211" s="127"/>
      <c r="O1211" s="127"/>
    </row>
    <row r="1212" spans="1:15" ht="15.6" hidden="1">
      <c r="A1212" s="334">
        <v>45849</v>
      </c>
      <c r="B1212" s="328" t="s">
        <v>2250</v>
      </c>
      <c r="C1212" s="179" t="s">
        <v>124</v>
      </c>
      <c r="D1212" s="336"/>
      <c r="E1212" s="332"/>
      <c r="F1212" s="317"/>
      <c r="G1212" s="340">
        <f>+M1212/N1212</f>
        <v>534.23810000000003</v>
      </c>
      <c r="H1212" s="335" t="s">
        <v>147</v>
      </c>
      <c r="I1212" s="127" t="s">
        <v>2251</v>
      </c>
      <c r="J1212" s="127" t="s">
        <v>97</v>
      </c>
      <c r="K1212" s="127" t="s">
        <v>1133</v>
      </c>
      <c r="L1212" s="145" t="s">
        <v>154</v>
      </c>
      <c r="M1212" s="325">
        <v>5342381</v>
      </c>
      <c r="N1212" s="127">
        <v>10000</v>
      </c>
      <c r="O1212" s="127"/>
    </row>
    <row r="1213" spans="1:15" ht="15.6" hidden="1">
      <c r="A1213" s="334">
        <v>45849</v>
      </c>
      <c r="B1213" s="328" t="s">
        <v>2252</v>
      </c>
      <c r="C1213" s="179" t="s">
        <v>126</v>
      </c>
      <c r="D1213" s="179" t="s">
        <v>442</v>
      </c>
      <c r="E1213" s="332">
        <v>400000</v>
      </c>
      <c r="F1213" s="317">
        <f t="shared" ref="F1213:F1244" si="4">E1213/G1213</f>
        <v>748.72982664471135</v>
      </c>
      <c r="G1213" s="340">
        <v>534.23810000000003</v>
      </c>
      <c r="H1213" s="335" t="s">
        <v>147</v>
      </c>
      <c r="I1213" s="127" t="s">
        <v>2253</v>
      </c>
      <c r="J1213" s="127" t="s">
        <v>97</v>
      </c>
      <c r="K1213" s="127" t="s">
        <v>1133</v>
      </c>
      <c r="L1213" s="145" t="s">
        <v>154</v>
      </c>
      <c r="M1213" s="127"/>
      <c r="N1213" s="127"/>
      <c r="O1213" s="127"/>
    </row>
    <row r="1214" spans="1:15" ht="15.6" hidden="1">
      <c r="A1214" s="334">
        <v>45849</v>
      </c>
      <c r="B1214" s="328" t="s">
        <v>2254</v>
      </c>
      <c r="C1214" s="179" t="s">
        <v>126</v>
      </c>
      <c r="D1214" s="179" t="s">
        <v>442</v>
      </c>
      <c r="E1214" s="332">
        <v>255000</v>
      </c>
      <c r="F1214" s="317">
        <f t="shared" si="4"/>
        <v>477.31526448600351</v>
      </c>
      <c r="G1214" s="340">
        <v>534.23810000000003</v>
      </c>
      <c r="H1214" s="335" t="s">
        <v>147</v>
      </c>
      <c r="I1214" s="127" t="s">
        <v>2255</v>
      </c>
      <c r="J1214" s="127" t="s">
        <v>97</v>
      </c>
      <c r="K1214" s="127" t="s">
        <v>1133</v>
      </c>
      <c r="L1214" s="145" t="s">
        <v>154</v>
      </c>
      <c r="M1214" s="127"/>
      <c r="N1214" s="127"/>
      <c r="O1214" s="127"/>
    </row>
    <row r="1215" spans="1:15" ht="15.6" hidden="1">
      <c r="A1215" s="334">
        <v>45849</v>
      </c>
      <c r="B1215" s="328" t="s">
        <v>2256</v>
      </c>
      <c r="C1215" s="336" t="s">
        <v>126</v>
      </c>
      <c r="D1215" s="179" t="s">
        <v>442</v>
      </c>
      <c r="E1215" s="332">
        <v>255000</v>
      </c>
      <c r="F1215" s="317">
        <f t="shared" si="4"/>
        <v>477.31526448600351</v>
      </c>
      <c r="G1215" s="340">
        <v>534.23810000000003</v>
      </c>
      <c r="H1215" s="335" t="s">
        <v>147</v>
      </c>
      <c r="I1215" s="127" t="s">
        <v>2257</v>
      </c>
      <c r="J1215" s="127" t="s">
        <v>97</v>
      </c>
      <c r="K1215" s="127" t="s">
        <v>1133</v>
      </c>
      <c r="L1215" s="145" t="s">
        <v>154</v>
      </c>
      <c r="M1215" s="127"/>
      <c r="N1215" s="127"/>
      <c r="O1215" s="127"/>
    </row>
    <row r="1216" spans="1:15" ht="15.6" hidden="1">
      <c r="A1216" s="334">
        <v>45849</v>
      </c>
      <c r="B1216" s="328" t="s">
        <v>2258</v>
      </c>
      <c r="C1216" s="179" t="s">
        <v>126</v>
      </c>
      <c r="D1216" s="179" t="s">
        <v>442</v>
      </c>
      <c r="E1216" s="332">
        <v>255000</v>
      </c>
      <c r="F1216" s="317">
        <f t="shared" si="4"/>
        <v>477.31526448600351</v>
      </c>
      <c r="G1216" s="340">
        <v>534.23810000000003</v>
      </c>
      <c r="H1216" s="335" t="s">
        <v>147</v>
      </c>
      <c r="I1216" s="127" t="s">
        <v>2259</v>
      </c>
      <c r="J1216" s="127" t="s">
        <v>97</v>
      </c>
      <c r="K1216" s="127" t="s">
        <v>1133</v>
      </c>
      <c r="L1216" s="145" t="s">
        <v>154</v>
      </c>
      <c r="M1216" s="127"/>
      <c r="N1216" s="127"/>
      <c r="O1216" s="127"/>
    </row>
    <row r="1217" spans="1:15" ht="15.6" hidden="1">
      <c r="A1217" s="334">
        <v>45849</v>
      </c>
      <c r="B1217" s="328" t="s">
        <v>2335</v>
      </c>
      <c r="C1217" s="179" t="s">
        <v>126</v>
      </c>
      <c r="D1217" s="179" t="s">
        <v>117</v>
      </c>
      <c r="E1217" s="332">
        <v>230000</v>
      </c>
      <c r="F1217" s="317">
        <f t="shared" si="4"/>
        <v>430.51965032070905</v>
      </c>
      <c r="G1217" s="340">
        <v>534.23810000000003</v>
      </c>
      <c r="H1217" s="335" t="s">
        <v>147</v>
      </c>
      <c r="I1217" s="127" t="s">
        <v>2260</v>
      </c>
      <c r="J1217" s="127" t="s">
        <v>97</v>
      </c>
      <c r="K1217" s="127" t="s">
        <v>1133</v>
      </c>
      <c r="L1217" s="145" t="s">
        <v>154</v>
      </c>
      <c r="M1217" s="127"/>
      <c r="N1217" s="127"/>
      <c r="O1217" s="127"/>
    </row>
    <row r="1218" spans="1:15" ht="15.6" hidden="1">
      <c r="A1218" s="334">
        <v>45849</v>
      </c>
      <c r="B1218" s="328" t="s">
        <v>2336</v>
      </c>
      <c r="C1218" s="336" t="s">
        <v>126</v>
      </c>
      <c r="D1218" s="341" t="s">
        <v>116</v>
      </c>
      <c r="E1218" s="332">
        <v>200000</v>
      </c>
      <c r="F1218" s="317">
        <f t="shared" si="4"/>
        <v>374.36491332235568</v>
      </c>
      <c r="G1218" s="340">
        <v>534.23810000000003</v>
      </c>
      <c r="H1218" s="335" t="s">
        <v>147</v>
      </c>
      <c r="I1218" s="127" t="s">
        <v>2261</v>
      </c>
      <c r="J1218" s="127" t="s">
        <v>97</v>
      </c>
      <c r="K1218" s="127" t="s">
        <v>1133</v>
      </c>
      <c r="L1218" s="145" t="s">
        <v>154</v>
      </c>
      <c r="M1218" s="127"/>
      <c r="N1218" s="127"/>
      <c r="O1218" s="127"/>
    </row>
    <row r="1219" spans="1:15" ht="15.6" hidden="1">
      <c r="A1219" s="334">
        <v>45849</v>
      </c>
      <c r="B1219" s="328" t="s">
        <v>2262</v>
      </c>
      <c r="C1219" s="336" t="s">
        <v>126</v>
      </c>
      <c r="D1219" s="341" t="s">
        <v>116</v>
      </c>
      <c r="E1219" s="332">
        <v>551482</v>
      </c>
      <c r="F1219" s="317">
        <f t="shared" si="4"/>
        <v>1032.2775556441968</v>
      </c>
      <c r="G1219" s="340">
        <v>534.23810000000003</v>
      </c>
      <c r="H1219" s="335" t="s">
        <v>147</v>
      </c>
      <c r="I1219" s="127" t="s">
        <v>2263</v>
      </c>
      <c r="J1219" s="127" t="s">
        <v>97</v>
      </c>
      <c r="K1219" s="127" t="s">
        <v>1133</v>
      </c>
      <c r="L1219" s="145" t="s">
        <v>154</v>
      </c>
      <c r="M1219" s="127"/>
      <c r="N1219" s="127"/>
      <c r="O1219" s="127"/>
    </row>
    <row r="1220" spans="1:15" ht="15.6" hidden="1">
      <c r="A1220" s="334">
        <v>45849</v>
      </c>
      <c r="B1220" s="328" t="s">
        <v>2264</v>
      </c>
      <c r="C1220" s="179" t="s">
        <v>126</v>
      </c>
      <c r="D1220" s="336" t="s">
        <v>116</v>
      </c>
      <c r="E1220" s="332">
        <v>300000</v>
      </c>
      <c r="F1220" s="317">
        <f t="shared" si="4"/>
        <v>561.54736998353349</v>
      </c>
      <c r="G1220" s="340">
        <v>534.23810000000003</v>
      </c>
      <c r="H1220" s="335" t="s">
        <v>147</v>
      </c>
      <c r="I1220" s="127" t="s">
        <v>2265</v>
      </c>
      <c r="J1220" s="127" t="s">
        <v>97</v>
      </c>
      <c r="K1220" s="127" t="s">
        <v>1133</v>
      </c>
      <c r="L1220" s="145" t="s">
        <v>154</v>
      </c>
      <c r="M1220" s="127"/>
      <c r="N1220" s="127"/>
      <c r="O1220" s="127"/>
    </row>
    <row r="1221" spans="1:15" ht="15.6" hidden="1">
      <c r="A1221" s="334">
        <v>45849</v>
      </c>
      <c r="B1221" s="328" t="s">
        <v>2266</v>
      </c>
      <c r="C1221" s="179" t="s">
        <v>126</v>
      </c>
      <c r="D1221" s="336" t="s">
        <v>119</v>
      </c>
      <c r="E1221" s="332">
        <v>238140</v>
      </c>
      <c r="F1221" s="317">
        <f t="shared" si="4"/>
        <v>445.75630229292892</v>
      </c>
      <c r="G1221" s="340">
        <v>534.23810000000003</v>
      </c>
      <c r="H1221" s="335" t="s">
        <v>147</v>
      </c>
      <c r="I1221" s="127" t="s">
        <v>2267</v>
      </c>
      <c r="J1221" s="127" t="s">
        <v>97</v>
      </c>
      <c r="K1221" s="127" t="s">
        <v>1133</v>
      </c>
      <c r="L1221" s="145" t="s">
        <v>154</v>
      </c>
      <c r="M1221" s="127"/>
      <c r="N1221" s="127"/>
      <c r="O1221" s="127"/>
    </row>
    <row r="1222" spans="1:15" ht="15.6" hidden="1">
      <c r="A1222" s="334">
        <v>45849</v>
      </c>
      <c r="B1222" s="328" t="s">
        <v>2337</v>
      </c>
      <c r="C1222" s="336" t="s">
        <v>126</v>
      </c>
      <c r="D1222" s="341" t="s">
        <v>118</v>
      </c>
      <c r="E1222" s="332">
        <v>786600</v>
      </c>
      <c r="F1222" s="317">
        <f t="shared" si="4"/>
        <v>1472.3772040968249</v>
      </c>
      <c r="G1222" s="340">
        <v>534.23810000000003</v>
      </c>
      <c r="H1222" s="335" t="s">
        <v>147</v>
      </c>
      <c r="I1222" s="127" t="s">
        <v>2268</v>
      </c>
      <c r="J1222" s="127" t="s">
        <v>97</v>
      </c>
      <c r="K1222" s="127" t="s">
        <v>1133</v>
      </c>
      <c r="L1222" s="145" t="s">
        <v>154</v>
      </c>
      <c r="M1222" s="127"/>
      <c r="N1222" s="127"/>
      <c r="O1222" s="127"/>
    </row>
    <row r="1223" spans="1:15" ht="15.6" hidden="1">
      <c r="A1223" s="334">
        <v>45849</v>
      </c>
      <c r="B1223" s="328" t="s">
        <v>2338</v>
      </c>
      <c r="C1223" s="336" t="s">
        <v>126</v>
      </c>
      <c r="D1223" s="341" t="s">
        <v>118</v>
      </c>
      <c r="E1223" s="332">
        <v>524400</v>
      </c>
      <c r="F1223" s="317">
        <f t="shared" si="4"/>
        <v>981.58480273121666</v>
      </c>
      <c r="G1223" s="340">
        <v>534.23810000000003</v>
      </c>
      <c r="H1223" s="335" t="s">
        <v>147</v>
      </c>
      <c r="I1223" s="127" t="s">
        <v>2269</v>
      </c>
      <c r="J1223" s="127" t="s">
        <v>97</v>
      </c>
      <c r="K1223" s="127" t="s">
        <v>1133</v>
      </c>
      <c r="L1223" s="145" t="s">
        <v>154</v>
      </c>
      <c r="M1223" s="127"/>
      <c r="N1223" s="127"/>
      <c r="O1223" s="127"/>
    </row>
    <row r="1224" spans="1:15" ht="15.6" hidden="1">
      <c r="A1224" s="334">
        <v>45849</v>
      </c>
      <c r="B1224" s="328" t="s">
        <v>2302</v>
      </c>
      <c r="C1224" s="336" t="s">
        <v>127</v>
      </c>
      <c r="D1224" s="341" t="s">
        <v>117</v>
      </c>
      <c r="E1224" s="332">
        <v>10665</v>
      </c>
      <c r="F1224" s="317">
        <f t="shared" si="4"/>
        <v>19.963009002914617</v>
      </c>
      <c r="G1224" s="340">
        <v>534.23810000000003</v>
      </c>
      <c r="H1224" s="335" t="s">
        <v>147</v>
      </c>
      <c r="I1224" s="127" t="s">
        <v>2271</v>
      </c>
      <c r="J1224" s="127" t="s">
        <v>97</v>
      </c>
      <c r="K1224" s="127" t="s">
        <v>1133</v>
      </c>
      <c r="L1224" s="145" t="s">
        <v>154</v>
      </c>
      <c r="M1224" s="127"/>
      <c r="N1224" s="127"/>
      <c r="O1224" s="127"/>
    </row>
    <row r="1225" spans="1:15" ht="15.6" hidden="1">
      <c r="A1225" s="334">
        <v>45852</v>
      </c>
      <c r="B1225" s="302" t="s">
        <v>2100</v>
      </c>
      <c r="C1225" s="303" t="s">
        <v>173</v>
      </c>
      <c r="D1225" s="304" t="s">
        <v>118</v>
      </c>
      <c r="E1225" s="302">
        <v>1000</v>
      </c>
      <c r="F1225" s="317">
        <f t="shared" si="4"/>
        <v>1.8718245666117783</v>
      </c>
      <c r="G1225" s="340">
        <v>534.23810000000003</v>
      </c>
      <c r="H1225" s="306" t="s">
        <v>152</v>
      </c>
      <c r="I1225" s="307" t="s">
        <v>2116</v>
      </c>
      <c r="J1225" s="127" t="s">
        <v>97</v>
      </c>
      <c r="K1225" s="127" t="s">
        <v>1133</v>
      </c>
      <c r="L1225" s="145" t="s">
        <v>154</v>
      </c>
      <c r="M1225" s="127"/>
      <c r="N1225" s="127"/>
      <c r="O1225" s="127"/>
    </row>
    <row r="1226" spans="1:15" ht="15.6" hidden="1">
      <c r="A1226" s="334">
        <v>45852</v>
      </c>
      <c r="B1226" s="302" t="s">
        <v>2101</v>
      </c>
      <c r="C1226" s="303" t="s">
        <v>173</v>
      </c>
      <c r="D1226" s="304" t="s">
        <v>118</v>
      </c>
      <c r="E1226" s="302">
        <v>1000</v>
      </c>
      <c r="F1226" s="317">
        <f t="shared" si="4"/>
        <v>1.8718245666117783</v>
      </c>
      <c r="G1226" s="340">
        <v>534.23810000000003</v>
      </c>
      <c r="H1226" s="306" t="s">
        <v>152</v>
      </c>
      <c r="I1226" s="307" t="s">
        <v>2116</v>
      </c>
      <c r="J1226" s="127" t="s">
        <v>97</v>
      </c>
      <c r="K1226" s="127" t="s">
        <v>1133</v>
      </c>
      <c r="L1226" s="145" t="s">
        <v>154</v>
      </c>
      <c r="M1226" s="127"/>
      <c r="N1226" s="127"/>
      <c r="O1226" s="127"/>
    </row>
    <row r="1227" spans="1:15" ht="15.6" hidden="1">
      <c r="A1227" s="334">
        <v>45852</v>
      </c>
      <c r="B1227" s="328" t="s">
        <v>2334</v>
      </c>
      <c r="C1227" s="179" t="s">
        <v>126</v>
      </c>
      <c r="D1227" s="342" t="s">
        <v>116</v>
      </c>
      <c r="E1227" s="332">
        <v>200000</v>
      </c>
      <c r="F1227" s="317">
        <f t="shared" si="4"/>
        <v>374.36491332235568</v>
      </c>
      <c r="G1227" s="340">
        <v>534.23810000000003</v>
      </c>
      <c r="H1227" s="335" t="s">
        <v>147</v>
      </c>
      <c r="I1227" s="127" t="s">
        <v>2272</v>
      </c>
      <c r="J1227" s="127" t="s">
        <v>97</v>
      </c>
      <c r="K1227" s="127" t="s">
        <v>1133</v>
      </c>
      <c r="L1227" s="145" t="s">
        <v>154</v>
      </c>
      <c r="M1227" s="127"/>
      <c r="N1227" s="127"/>
      <c r="O1227" s="127"/>
    </row>
    <row r="1228" spans="1:15" ht="15.6" hidden="1">
      <c r="A1228" s="334">
        <v>45853</v>
      </c>
      <c r="B1228" s="302" t="s">
        <v>2106</v>
      </c>
      <c r="C1228" s="303" t="s">
        <v>173</v>
      </c>
      <c r="D1228" s="304" t="s">
        <v>118</v>
      </c>
      <c r="E1228" s="302">
        <v>1000</v>
      </c>
      <c r="F1228" s="317">
        <f t="shared" si="4"/>
        <v>1.8718245666117783</v>
      </c>
      <c r="G1228" s="340">
        <v>534.23810000000003</v>
      </c>
      <c r="H1228" s="306" t="s">
        <v>152</v>
      </c>
      <c r="I1228" s="307" t="s">
        <v>2116</v>
      </c>
      <c r="J1228" s="127" t="s">
        <v>97</v>
      </c>
      <c r="K1228" s="127" t="s">
        <v>1133</v>
      </c>
      <c r="L1228" s="145" t="s">
        <v>154</v>
      </c>
      <c r="M1228" s="127"/>
      <c r="N1228" s="127"/>
      <c r="O1228" s="127"/>
    </row>
    <row r="1229" spans="1:15" ht="15.6" hidden="1">
      <c r="A1229" s="334">
        <v>45853</v>
      </c>
      <c r="B1229" s="302" t="s">
        <v>2105</v>
      </c>
      <c r="C1229" s="303" t="s">
        <v>173</v>
      </c>
      <c r="D1229" s="304" t="s">
        <v>118</v>
      </c>
      <c r="E1229" s="302">
        <v>1000</v>
      </c>
      <c r="F1229" s="317">
        <f t="shared" si="4"/>
        <v>1.8718245666117783</v>
      </c>
      <c r="G1229" s="340">
        <v>534.23810000000003</v>
      </c>
      <c r="H1229" s="306" t="s">
        <v>152</v>
      </c>
      <c r="I1229" s="307" t="s">
        <v>2116</v>
      </c>
      <c r="J1229" s="127" t="s">
        <v>97</v>
      </c>
      <c r="K1229" s="127" t="s">
        <v>1133</v>
      </c>
      <c r="L1229" s="145" t="s">
        <v>154</v>
      </c>
      <c r="M1229" s="127"/>
      <c r="N1229" s="127"/>
      <c r="O1229" s="127"/>
    </row>
    <row r="1230" spans="1:15" ht="15.6" hidden="1">
      <c r="A1230" s="334">
        <v>45853</v>
      </c>
      <c r="B1230" s="302" t="s">
        <v>2101</v>
      </c>
      <c r="C1230" s="303" t="s">
        <v>173</v>
      </c>
      <c r="D1230" s="304" t="s">
        <v>118</v>
      </c>
      <c r="E1230" s="302">
        <v>1000</v>
      </c>
      <c r="F1230" s="317">
        <f t="shared" si="4"/>
        <v>1.8718245666117783</v>
      </c>
      <c r="G1230" s="340">
        <v>534.23810000000003</v>
      </c>
      <c r="H1230" s="306" t="s">
        <v>152</v>
      </c>
      <c r="I1230" s="307" t="s">
        <v>2116</v>
      </c>
      <c r="J1230" s="127" t="s">
        <v>97</v>
      </c>
      <c r="K1230" s="127" t="s">
        <v>1133</v>
      </c>
      <c r="L1230" s="145" t="s">
        <v>154</v>
      </c>
      <c r="M1230" s="127"/>
      <c r="N1230" s="127"/>
      <c r="O1230" s="127"/>
    </row>
    <row r="1231" spans="1:15" ht="15.6" hidden="1">
      <c r="A1231" s="334">
        <v>45853</v>
      </c>
      <c r="B1231" s="335" t="s">
        <v>2136</v>
      </c>
      <c r="C1231" s="335" t="s">
        <v>173</v>
      </c>
      <c r="D1231" s="335" t="s">
        <v>117</v>
      </c>
      <c r="E1231" s="324">
        <v>1000</v>
      </c>
      <c r="F1231" s="317">
        <f t="shared" si="4"/>
        <v>1.8718245666117783</v>
      </c>
      <c r="G1231" s="340">
        <v>534.23810000000003</v>
      </c>
      <c r="H1231" s="335" t="s">
        <v>583</v>
      </c>
      <c r="I1231" s="127" t="s">
        <v>2165</v>
      </c>
      <c r="J1231" s="127" t="s">
        <v>97</v>
      </c>
      <c r="K1231" s="127" t="s">
        <v>1133</v>
      </c>
      <c r="L1231" s="145" t="s">
        <v>154</v>
      </c>
      <c r="M1231" s="127"/>
      <c r="N1231" s="127"/>
      <c r="O1231" s="127"/>
    </row>
    <row r="1232" spans="1:15" ht="15.6" hidden="1">
      <c r="A1232" s="334">
        <v>45853</v>
      </c>
      <c r="B1232" s="335" t="s">
        <v>2137</v>
      </c>
      <c r="C1232" s="335" t="s">
        <v>173</v>
      </c>
      <c r="D1232" s="335" t="s">
        <v>117</v>
      </c>
      <c r="E1232" s="324">
        <v>1000</v>
      </c>
      <c r="F1232" s="317">
        <f t="shared" si="4"/>
        <v>1.8718245666117783</v>
      </c>
      <c r="G1232" s="340">
        <v>534.23810000000003</v>
      </c>
      <c r="H1232" s="335" t="s">
        <v>583</v>
      </c>
      <c r="I1232" s="127" t="s">
        <v>2165</v>
      </c>
      <c r="J1232" s="127" t="s">
        <v>97</v>
      </c>
      <c r="K1232" s="127" t="s">
        <v>1133</v>
      </c>
      <c r="L1232" s="145" t="s">
        <v>154</v>
      </c>
      <c r="M1232" s="127"/>
      <c r="N1232" s="127"/>
      <c r="O1232" s="127"/>
    </row>
    <row r="1233" spans="1:15" ht="15.6" hidden="1">
      <c r="A1233" s="334">
        <v>45853</v>
      </c>
      <c r="B1233" s="335" t="s">
        <v>2138</v>
      </c>
      <c r="C1233" s="335" t="s">
        <v>173</v>
      </c>
      <c r="D1233" s="335" t="s">
        <v>117</v>
      </c>
      <c r="E1233" s="324">
        <v>1000</v>
      </c>
      <c r="F1233" s="317">
        <f t="shared" si="4"/>
        <v>1.8718245666117783</v>
      </c>
      <c r="G1233" s="340">
        <v>534.23810000000003</v>
      </c>
      <c r="H1233" s="335" t="s">
        <v>583</v>
      </c>
      <c r="I1233" s="127" t="s">
        <v>2165</v>
      </c>
      <c r="J1233" s="127" t="s">
        <v>97</v>
      </c>
      <c r="K1233" s="127" t="s">
        <v>1133</v>
      </c>
      <c r="L1233" s="145" t="s">
        <v>154</v>
      </c>
      <c r="M1233" s="127"/>
      <c r="N1233" s="127"/>
      <c r="O1233" s="127"/>
    </row>
    <row r="1234" spans="1:15" ht="15.6" hidden="1">
      <c r="A1234" s="334">
        <v>45853</v>
      </c>
      <c r="B1234" s="326" t="s">
        <v>2273</v>
      </c>
      <c r="C1234" s="326" t="s">
        <v>126</v>
      </c>
      <c r="D1234" s="326" t="s">
        <v>116</v>
      </c>
      <c r="E1234" s="332">
        <v>368700</v>
      </c>
      <c r="F1234" s="317">
        <f t="shared" si="4"/>
        <v>690.1417177097627</v>
      </c>
      <c r="G1234" s="340">
        <v>534.23810000000003</v>
      </c>
      <c r="H1234" s="335" t="s">
        <v>147</v>
      </c>
      <c r="I1234" s="127" t="s">
        <v>2274</v>
      </c>
      <c r="J1234" s="127" t="s">
        <v>97</v>
      </c>
      <c r="K1234" s="127" t="s">
        <v>1133</v>
      </c>
      <c r="L1234" s="145" t="s">
        <v>154</v>
      </c>
      <c r="M1234" s="127"/>
      <c r="N1234" s="127"/>
      <c r="O1234" s="127"/>
    </row>
    <row r="1235" spans="1:15" ht="15.6" hidden="1">
      <c r="A1235" s="334">
        <v>45853</v>
      </c>
      <c r="B1235" s="326" t="s">
        <v>2275</v>
      </c>
      <c r="C1235" s="326" t="s">
        <v>126</v>
      </c>
      <c r="D1235" s="326" t="s">
        <v>116</v>
      </c>
      <c r="E1235" s="332">
        <v>177789</v>
      </c>
      <c r="F1235" s="317">
        <f t="shared" si="4"/>
        <v>332.78981787334146</v>
      </c>
      <c r="G1235" s="340">
        <v>534.23810000000003</v>
      </c>
      <c r="H1235" s="335" t="s">
        <v>147</v>
      </c>
      <c r="I1235" s="127" t="s">
        <v>2276</v>
      </c>
      <c r="J1235" s="127" t="s">
        <v>97</v>
      </c>
      <c r="K1235" s="127" t="s">
        <v>1133</v>
      </c>
      <c r="L1235" s="145" t="s">
        <v>154</v>
      </c>
      <c r="M1235" s="127"/>
      <c r="N1235" s="127"/>
      <c r="O1235" s="127"/>
    </row>
    <row r="1236" spans="1:15" ht="15.6" hidden="1">
      <c r="A1236" s="334">
        <v>45853</v>
      </c>
      <c r="B1236" s="326" t="s">
        <v>2277</v>
      </c>
      <c r="C1236" s="326" t="s">
        <v>126</v>
      </c>
      <c r="D1236" s="326" t="s">
        <v>116</v>
      </c>
      <c r="E1236" s="332">
        <v>118814</v>
      </c>
      <c r="F1236" s="317">
        <f t="shared" si="4"/>
        <v>222.39896405741183</v>
      </c>
      <c r="G1236" s="340">
        <v>534.23810000000003</v>
      </c>
      <c r="H1236" s="335" t="s">
        <v>147</v>
      </c>
      <c r="I1236" s="127" t="s">
        <v>2278</v>
      </c>
      <c r="J1236" s="127" t="s">
        <v>97</v>
      </c>
      <c r="K1236" s="127" t="s">
        <v>1133</v>
      </c>
      <c r="L1236" s="145" t="s">
        <v>154</v>
      </c>
      <c r="M1236" s="127"/>
      <c r="N1236" s="127"/>
      <c r="O1236" s="127"/>
    </row>
    <row r="1237" spans="1:15" ht="15.6" hidden="1">
      <c r="A1237" s="334">
        <v>45853</v>
      </c>
      <c r="B1237" s="326" t="s">
        <v>2279</v>
      </c>
      <c r="C1237" s="326" t="s">
        <v>126</v>
      </c>
      <c r="D1237" s="326" t="s">
        <v>116</v>
      </c>
      <c r="E1237" s="332">
        <v>103494</v>
      </c>
      <c r="F1237" s="317">
        <f t="shared" si="4"/>
        <v>193.72261169691939</v>
      </c>
      <c r="G1237" s="340">
        <v>534.23810000000003</v>
      </c>
      <c r="H1237" s="335" t="s">
        <v>147</v>
      </c>
      <c r="I1237" s="127" t="s">
        <v>2280</v>
      </c>
      <c r="J1237" s="127" t="s">
        <v>97</v>
      </c>
      <c r="K1237" s="127" t="s">
        <v>1133</v>
      </c>
      <c r="L1237" s="145" t="s">
        <v>154</v>
      </c>
      <c r="M1237" s="127"/>
      <c r="N1237" s="127"/>
      <c r="O1237" s="127"/>
    </row>
    <row r="1238" spans="1:15" ht="15.6" hidden="1">
      <c r="A1238" s="334">
        <v>45853</v>
      </c>
      <c r="B1238" s="326" t="s">
        <v>2281</v>
      </c>
      <c r="C1238" s="326" t="s">
        <v>126</v>
      </c>
      <c r="D1238" s="326" t="s">
        <v>116</v>
      </c>
      <c r="E1238" s="332">
        <v>103494</v>
      </c>
      <c r="F1238" s="317">
        <f t="shared" si="4"/>
        <v>193.72261169691939</v>
      </c>
      <c r="G1238" s="340">
        <v>534.23810000000003</v>
      </c>
      <c r="H1238" s="335" t="s">
        <v>147</v>
      </c>
      <c r="I1238" s="127" t="s">
        <v>2282</v>
      </c>
      <c r="J1238" s="127" t="s">
        <v>97</v>
      </c>
      <c r="K1238" s="127" t="s">
        <v>1133</v>
      </c>
      <c r="L1238" s="145" t="s">
        <v>154</v>
      </c>
      <c r="M1238" s="127"/>
      <c r="N1238" s="127"/>
      <c r="O1238" s="127"/>
    </row>
    <row r="1239" spans="1:15" ht="15.6" hidden="1">
      <c r="A1239" s="334">
        <v>45853</v>
      </c>
      <c r="B1239" s="326" t="s">
        <v>2283</v>
      </c>
      <c r="C1239" s="326" t="s">
        <v>126</v>
      </c>
      <c r="D1239" s="326" t="s">
        <v>117</v>
      </c>
      <c r="E1239" s="332">
        <v>124433</v>
      </c>
      <c r="F1239" s="317">
        <f t="shared" si="4"/>
        <v>232.91674629720342</v>
      </c>
      <c r="G1239" s="340">
        <v>534.23810000000003</v>
      </c>
      <c r="H1239" s="335" t="s">
        <v>147</v>
      </c>
      <c r="I1239" s="127" t="s">
        <v>2284</v>
      </c>
      <c r="J1239" s="127" t="s">
        <v>97</v>
      </c>
      <c r="K1239" s="127" t="s">
        <v>1133</v>
      </c>
      <c r="L1239" s="145" t="s">
        <v>154</v>
      </c>
      <c r="M1239" s="127"/>
      <c r="N1239" s="127"/>
      <c r="O1239" s="127"/>
    </row>
    <row r="1240" spans="1:15" ht="15.6" hidden="1">
      <c r="A1240" s="334">
        <v>45853</v>
      </c>
      <c r="B1240" s="326" t="s">
        <v>2285</v>
      </c>
      <c r="C1240" s="326" t="s">
        <v>126</v>
      </c>
      <c r="D1240" s="326" t="s">
        <v>119</v>
      </c>
      <c r="E1240" s="332">
        <v>155330</v>
      </c>
      <c r="F1240" s="317">
        <f t="shared" si="4"/>
        <v>276.90896221658943</v>
      </c>
      <c r="G1240" s="318">
        <v>560.94248000000005</v>
      </c>
      <c r="H1240" s="335" t="s">
        <v>147</v>
      </c>
      <c r="I1240" s="127" t="s">
        <v>2286</v>
      </c>
      <c r="J1240" s="127" t="s">
        <v>97</v>
      </c>
      <c r="K1240" s="127" t="s">
        <v>1903</v>
      </c>
      <c r="L1240" s="145" t="s">
        <v>154</v>
      </c>
      <c r="M1240" s="127"/>
      <c r="N1240" s="127"/>
      <c r="O1240" s="127"/>
    </row>
    <row r="1241" spans="1:15" ht="15.6" hidden="1">
      <c r="A1241" s="334">
        <v>45854</v>
      </c>
      <c r="B1241" s="302" t="s">
        <v>2100</v>
      </c>
      <c r="C1241" s="303" t="s">
        <v>173</v>
      </c>
      <c r="D1241" s="304" t="s">
        <v>118</v>
      </c>
      <c r="E1241" s="302">
        <v>1000</v>
      </c>
      <c r="F1241" s="317">
        <f t="shared" si="4"/>
        <v>1.8718245666117783</v>
      </c>
      <c r="G1241" s="340">
        <v>534.23810000000003</v>
      </c>
      <c r="H1241" s="306" t="s">
        <v>152</v>
      </c>
      <c r="I1241" s="307" t="s">
        <v>2116</v>
      </c>
      <c r="J1241" s="127" t="s">
        <v>97</v>
      </c>
      <c r="K1241" s="127" t="s">
        <v>1133</v>
      </c>
      <c r="L1241" s="145" t="s">
        <v>154</v>
      </c>
      <c r="M1241" s="127"/>
      <c r="N1241" s="127"/>
      <c r="O1241" s="145"/>
    </row>
    <row r="1242" spans="1:15" ht="15.6" hidden="1">
      <c r="A1242" s="334">
        <v>45854</v>
      </c>
      <c r="B1242" s="302" t="s">
        <v>2101</v>
      </c>
      <c r="C1242" s="303" t="s">
        <v>173</v>
      </c>
      <c r="D1242" s="304" t="s">
        <v>118</v>
      </c>
      <c r="E1242" s="302">
        <v>1000</v>
      </c>
      <c r="F1242" s="317">
        <f t="shared" si="4"/>
        <v>1.8718245666117783</v>
      </c>
      <c r="G1242" s="340">
        <v>534.23810000000003</v>
      </c>
      <c r="H1242" s="306" t="s">
        <v>152</v>
      </c>
      <c r="I1242" s="307" t="s">
        <v>2116</v>
      </c>
      <c r="J1242" s="127" t="s">
        <v>97</v>
      </c>
      <c r="K1242" s="127" t="s">
        <v>1133</v>
      </c>
      <c r="L1242" s="145" t="s">
        <v>154</v>
      </c>
      <c r="M1242" s="127"/>
      <c r="N1242" s="127"/>
      <c r="O1242" s="127"/>
    </row>
    <row r="1243" spans="1:15" ht="15.6" hidden="1">
      <c r="A1243" s="334">
        <v>45854</v>
      </c>
      <c r="B1243" s="335" t="s">
        <v>2139</v>
      </c>
      <c r="C1243" s="335" t="s">
        <v>173</v>
      </c>
      <c r="D1243" s="335" t="s">
        <v>117</v>
      </c>
      <c r="E1243" s="324">
        <v>1000</v>
      </c>
      <c r="F1243" s="317">
        <f t="shared" si="4"/>
        <v>1.8718245666117783</v>
      </c>
      <c r="G1243" s="340">
        <v>534.23810000000003</v>
      </c>
      <c r="H1243" s="335" t="s">
        <v>583</v>
      </c>
      <c r="I1243" s="127" t="s">
        <v>2165</v>
      </c>
      <c r="J1243" s="127" t="s">
        <v>97</v>
      </c>
      <c r="K1243" s="127" t="s">
        <v>1133</v>
      </c>
      <c r="L1243" s="145" t="s">
        <v>154</v>
      </c>
      <c r="M1243" s="127"/>
      <c r="N1243" s="127"/>
      <c r="O1243" s="127"/>
    </row>
    <row r="1244" spans="1:15" ht="15.6" hidden="1">
      <c r="A1244" s="334">
        <v>45854</v>
      </c>
      <c r="B1244" s="335" t="s">
        <v>2140</v>
      </c>
      <c r="C1244" s="335" t="s">
        <v>173</v>
      </c>
      <c r="D1244" s="335" t="s">
        <v>117</v>
      </c>
      <c r="E1244" s="324">
        <v>1000</v>
      </c>
      <c r="F1244" s="317">
        <f t="shared" si="4"/>
        <v>1.8718245666117783</v>
      </c>
      <c r="G1244" s="340">
        <v>534.23810000000003</v>
      </c>
      <c r="H1244" s="335" t="s">
        <v>583</v>
      </c>
      <c r="I1244" s="127" t="s">
        <v>2165</v>
      </c>
      <c r="J1244" s="127" t="s">
        <v>97</v>
      </c>
      <c r="K1244" s="127" t="s">
        <v>1133</v>
      </c>
      <c r="L1244" s="145" t="s">
        <v>154</v>
      </c>
      <c r="M1244" s="127"/>
      <c r="N1244" s="127"/>
      <c r="O1244" s="127"/>
    </row>
    <row r="1245" spans="1:15" ht="15.6" hidden="1">
      <c r="A1245" s="334">
        <v>45854</v>
      </c>
      <c r="B1245" s="335" t="s">
        <v>2324</v>
      </c>
      <c r="C1245" s="343" t="s">
        <v>151</v>
      </c>
      <c r="D1245" s="335" t="s">
        <v>118</v>
      </c>
      <c r="E1245" s="324">
        <v>5000</v>
      </c>
      <c r="F1245" s="317">
        <f t="shared" ref="F1245:F1276" si="5">E1245/G1245</f>
        <v>9.3591228330588923</v>
      </c>
      <c r="G1245" s="340">
        <v>534.23810000000003</v>
      </c>
      <c r="H1245" s="335" t="s">
        <v>583</v>
      </c>
      <c r="I1245" s="127" t="s">
        <v>2168</v>
      </c>
      <c r="J1245" s="127" t="s">
        <v>97</v>
      </c>
      <c r="K1245" s="127" t="s">
        <v>1133</v>
      </c>
      <c r="L1245" s="145" t="s">
        <v>154</v>
      </c>
      <c r="M1245" s="127"/>
      <c r="N1245" s="127"/>
      <c r="O1245" s="127"/>
    </row>
    <row r="1246" spans="1:15" s="347" customFormat="1" ht="15.6" hidden="1">
      <c r="A1246" s="334">
        <v>45854</v>
      </c>
      <c r="B1246" s="335" t="s">
        <v>2319</v>
      </c>
      <c r="C1246" s="343" t="s">
        <v>151</v>
      </c>
      <c r="D1246" s="335" t="s">
        <v>118</v>
      </c>
      <c r="E1246" s="324">
        <v>20000</v>
      </c>
      <c r="F1246" s="317">
        <f t="shared" si="5"/>
        <v>35.654279561783227</v>
      </c>
      <c r="G1246" s="318">
        <v>560.94248000000005</v>
      </c>
      <c r="H1246" s="335" t="s">
        <v>152</v>
      </c>
      <c r="I1246" s="127" t="s">
        <v>2320</v>
      </c>
      <c r="J1246" s="127" t="s">
        <v>97</v>
      </c>
      <c r="K1246" s="127" t="s">
        <v>1903</v>
      </c>
      <c r="L1246" s="145" t="s">
        <v>154</v>
      </c>
      <c r="M1246" s="127"/>
      <c r="N1246" s="127"/>
      <c r="O1246" s="127"/>
    </row>
    <row r="1247" spans="1:15" ht="15.6" hidden="1">
      <c r="A1247" s="334">
        <v>45855</v>
      </c>
      <c r="B1247" s="302" t="s">
        <v>2100</v>
      </c>
      <c r="C1247" s="303" t="s">
        <v>173</v>
      </c>
      <c r="D1247" s="304" t="s">
        <v>118</v>
      </c>
      <c r="E1247" s="302">
        <v>1000</v>
      </c>
      <c r="F1247" s="317">
        <f t="shared" si="5"/>
        <v>1.8718245666117783</v>
      </c>
      <c r="G1247" s="340">
        <v>534.23810000000003</v>
      </c>
      <c r="H1247" s="306" t="s">
        <v>152</v>
      </c>
      <c r="I1247" s="307" t="s">
        <v>2116</v>
      </c>
      <c r="J1247" s="127" t="s">
        <v>97</v>
      </c>
      <c r="K1247" s="127" t="s">
        <v>1133</v>
      </c>
      <c r="L1247" s="145" t="s">
        <v>154</v>
      </c>
      <c r="M1247" s="127"/>
      <c r="N1247" s="127"/>
      <c r="O1247" s="127"/>
    </row>
    <row r="1248" spans="1:15" ht="15.6" hidden="1">
      <c r="A1248" s="334">
        <v>45855</v>
      </c>
      <c r="B1248" s="302" t="s">
        <v>2107</v>
      </c>
      <c r="C1248" s="303" t="s">
        <v>173</v>
      </c>
      <c r="D1248" s="304" t="s">
        <v>118</v>
      </c>
      <c r="E1248" s="302">
        <v>1000</v>
      </c>
      <c r="F1248" s="317">
        <f t="shared" si="5"/>
        <v>1.8718245666117783</v>
      </c>
      <c r="G1248" s="340">
        <v>534.23810000000003</v>
      </c>
      <c r="H1248" s="306" t="s">
        <v>152</v>
      </c>
      <c r="I1248" s="307" t="s">
        <v>2116</v>
      </c>
      <c r="J1248" s="127" t="s">
        <v>97</v>
      </c>
      <c r="K1248" s="127" t="s">
        <v>1133</v>
      </c>
      <c r="L1248" s="145" t="s">
        <v>154</v>
      </c>
      <c r="M1248" s="127"/>
      <c r="N1248" s="127"/>
      <c r="O1248" s="127"/>
    </row>
    <row r="1249" spans="1:15" ht="15.6" hidden="1">
      <c r="A1249" s="334">
        <v>45855</v>
      </c>
      <c r="B1249" s="302" t="s">
        <v>2108</v>
      </c>
      <c r="C1249" s="303" t="s">
        <v>173</v>
      </c>
      <c r="D1249" s="304" t="s">
        <v>118</v>
      </c>
      <c r="E1249" s="302">
        <v>1000</v>
      </c>
      <c r="F1249" s="317">
        <f t="shared" si="5"/>
        <v>1.8718245666117783</v>
      </c>
      <c r="G1249" s="340">
        <v>534.23810000000003</v>
      </c>
      <c r="H1249" s="306" t="s">
        <v>152</v>
      </c>
      <c r="I1249" s="307" t="s">
        <v>2116</v>
      </c>
      <c r="J1249" s="127" t="s">
        <v>97</v>
      </c>
      <c r="K1249" s="127" t="s">
        <v>1133</v>
      </c>
      <c r="L1249" s="145" t="s">
        <v>154</v>
      </c>
      <c r="M1249" s="127"/>
      <c r="N1249" s="127"/>
      <c r="O1249" s="127"/>
    </row>
    <row r="1250" spans="1:15" ht="15.6" hidden="1">
      <c r="A1250" s="334">
        <v>45855</v>
      </c>
      <c r="B1250" s="302" t="s">
        <v>2101</v>
      </c>
      <c r="C1250" s="303" t="s">
        <v>173</v>
      </c>
      <c r="D1250" s="304" t="s">
        <v>118</v>
      </c>
      <c r="E1250" s="302">
        <v>1000</v>
      </c>
      <c r="F1250" s="317">
        <f t="shared" si="5"/>
        <v>1.8718245666117783</v>
      </c>
      <c r="G1250" s="340">
        <v>534.23810000000003</v>
      </c>
      <c r="H1250" s="306" t="s">
        <v>152</v>
      </c>
      <c r="I1250" s="307" t="s">
        <v>2116</v>
      </c>
      <c r="J1250" s="127" t="s">
        <v>97</v>
      </c>
      <c r="K1250" s="127" t="s">
        <v>1133</v>
      </c>
      <c r="L1250" s="145" t="s">
        <v>154</v>
      </c>
      <c r="M1250" s="127"/>
      <c r="N1250" s="127"/>
      <c r="O1250" s="127"/>
    </row>
    <row r="1251" spans="1:15" ht="15.6" hidden="1">
      <c r="A1251" s="334">
        <v>45855</v>
      </c>
      <c r="B1251" s="337" t="s">
        <v>2120</v>
      </c>
      <c r="C1251" s="338" t="s">
        <v>173</v>
      </c>
      <c r="D1251" s="337" t="s">
        <v>116</v>
      </c>
      <c r="E1251" s="338">
        <v>1000</v>
      </c>
      <c r="F1251" s="317">
        <f t="shared" si="5"/>
        <v>1.8718245666117783</v>
      </c>
      <c r="G1251" s="340">
        <v>534.23810000000003</v>
      </c>
      <c r="H1251" s="339" t="s">
        <v>199</v>
      </c>
      <c r="I1251" s="311" t="s">
        <v>2127</v>
      </c>
      <c r="J1251" s="127" t="s">
        <v>97</v>
      </c>
      <c r="K1251" s="127" t="s">
        <v>1133</v>
      </c>
      <c r="L1251" s="145" t="s">
        <v>154</v>
      </c>
      <c r="M1251" s="127"/>
      <c r="N1251" s="127"/>
      <c r="O1251" s="127"/>
    </row>
    <row r="1252" spans="1:15" ht="15.6" hidden="1">
      <c r="A1252" s="334">
        <v>45856</v>
      </c>
      <c r="B1252" s="302" t="s">
        <v>2103</v>
      </c>
      <c r="C1252" s="303" t="s">
        <v>173</v>
      </c>
      <c r="D1252" s="304" t="s">
        <v>118</v>
      </c>
      <c r="E1252" s="302">
        <v>1000</v>
      </c>
      <c r="F1252" s="317">
        <f t="shared" si="5"/>
        <v>1.8718245666117783</v>
      </c>
      <c r="G1252" s="340">
        <v>534.23810000000003</v>
      </c>
      <c r="H1252" s="306" t="s">
        <v>152</v>
      </c>
      <c r="I1252" s="307" t="s">
        <v>2116</v>
      </c>
      <c r="J1252" s="127" t="s">
        <v>97</v>
      </c>
      <c r="K1252" s="127" t="s">
        <v>1133</v>
      </c>
      <c r="L1252" s="145" t="s">
        <v>154</v>
      </c>
      <c r="M1252" s="127"/>
      <c r="N1252" s="127"/>
      <c r="O1252" s="127"/>
    </row>
    <row r="1253" spans="1:15" ht="15.6" hidden="1">
      <c r="A1253" s="334">
        <v>45856</v>
      </c>
      <c r="B1253" s="302" t="s">
        <v>2109</v>
      </c>
      <c r="C1253" s="303" t="s">
        <v>173</v>
      </c>
      <c r="D1253" s="304" t="s">
        <v>118</v>
      </c>
      <c r="E1253" s="302">
        <v>1000</v>
      </c>
      <c r="F1253" s="317">
        <f t="shared" si="5"/>
        <v>1.8718245666117783</v>
      </c>
      <c r="G1253" s="340">
        <v>534.23810000000003</v>
      </c>
      <c r="H1253" s="306" t="s">
        <v>152</v>
      </c>
      <c r="I1253" s="307" t="s">
        <v>2116</v>
      </c>
      <c r="J1253" s="127" t="s">
        <v>97</v>
      </c>
      <c r="K1253" s="127" t="s">
        <v>1133</v>
      </c>
      <c r="L1253" s="145" t="s">
        <v>154</v>
      </c>
      <c r="M1253" s="127"/>
      <c r="N1253" s="127"/>
      <c r="O1253" s="127"/>
    </row>
    <row r="1254" spans="1:15" ht="15.6" hidden="1">
      <c r="A1254" s="334">
        <v>45856</v>
      </c>
      <c r="B1254" s="302" t="s">
        <v>2110</v>
      </c>
      <c r="C1254" s="303" t="s">
        <v>173</v>
      </c>
      <c r="D1254" s="304" t="s">
        <v>118</v>
      </c>
      <c r="E1254" s="302">
        <v>1000</v>
      </c>
      <c r="F1254" s="317">
        <f t="shared" si="5"/>
        <v>1.8718245666117783</v>
      </c>
      <c r="G1254" s="340">
        <v>534.23810000000003</v>
      </c>
      <c r="H1254" s="306" t="s">
        <v>152</v>
      </c>
      <c r="I1254" s="307" t="s">
        <v>2116</v>
      </c>
      <c r="J1254" s="127" t="s">
        <v>97</v>
      </c>
      <c r="K1254" s="127" t="s">
        <v>1133</v>
      </c>
      <c r="L1254" s="145" t="s">
        <v>154</v>
      </c>
      <c r="M1254" s="127"/>
      <c r="N1254" s="127"/>
      <c r="O1254" s="127"/>
    </row>
    <row r="1255" spans="1:15" ht="15.6" hidden="1">
      <c r="A1255" s="334">
        <v>45856</v>
      </c>
      <c r="B1255" s="302" t="s">
        <v>2111</v>
      </c>
      <c r="C1255" s="303" t="s">
        <v>173</v>
      </c>
      <c r="D1255" s="304" t="s">
        <v>118</v>
      </c>
      <c r="E1255" s="302">
        <v>1000</v>
      </c>
      <c r="F1255" s="317">
        <f t="shared" si="5"/>
        <v>1.8718245666117783</v>
      </c>
      <c r="G1255" s="344">
        <v>534.23810000000003</v>
      </c>
      <c r="H1255" s="306" t="s">
        <v>152</v>
      </c>
      <c r="I1255" s="307" t="s">
        <v>2116</v>
      </c>
      <c r="J1255" s="127" t="s">
        <v>97</v>
      </c>
      <c r="K1255" s="127" t="s">
        <v>1133</v>
      </c>
      <c r="L1255" s="145" t="s">
        <v>154</v>
      </c>
      <c r="M1255" s="127"/>
      <c r="N1255" s="127"/>
      <c r="O1255" s="127"/>
    </row>
    <row r="1256" spans="1:15" ht="15.6" hidden="1">
      <c r="A1256" s="334">
        <v>45856</v>
      </c>
      <c r="B1256" s="302" t="s">
        <v>2112</v>
      </c>
      <c r="C1256" s="303" t="s">
        <v>173</v>
      </c>
      <c r="D1256" s="304" t="s">
        <v>118</v>
      </c>
      <c r="E1256" s="302">
        <v>1000</v>
      </c>
      <c r="F1256" s="317">
        <f t="shared" si="5"/>
        <v>1.8718245666117783</v>
      </c>
      <c r="G1256" s="344">
        <v>534.23810000000003</v>
      </c>
      <c r="H1256" s="306" t="s">
        <v>152</v>
      </c>
      <c r="I1256" s="307" t="s">
        <v>2116</v>
      </c>
      <c r="J1256" s="127" t="s">
        <v>97</v>
      </c>
      <c r="K1256" s="127" t="s">
        <v>1133</v>
      </c>
      <c r="L1256" s="145" t="s">
        <v>154</v>
      </c>
      <c r="M1256" s="127"/>
      <c r="N1256" s="127"/>
      <c r="O1256" s="127"/>
    </row>
    <row r="1257" spans="1:15" ht="15.6" hidden="1">
      <c r="A1257" s="334">
        <v>45856</v>
      </c>
      <c r="B1257" s="302" t="s">
        <v>2101</v>
      </c>
      <c r="C1257" s="303" t="s">
        <v>173</v>
      </c>
      <c r="D1257" s="304" t="s">
        <v>118</v>
      </c>
      <c r="E1257" s="302">
        <v>1000</v>
      </c>
      <c r="F1257" s="317">
        <f t="shared" si="5"/>
        <v>1.8718245666117783</v>
      </c>
      <c r="G1257" s="344">
        <v>534.23810000000003</v>
      </c>
      <c r="H1257" s="306" t="s">
        <v>152</v>
      </c>
      <c r="I1257" s="307" t="s">
        <v>2116</v>
      </c>
      <c r="J1257" s="127" t="s">
        <v>97</v>
      </c>
      <c r="K1257" s="127" t="s">
        <v>1133</v>
      </c>
      <c r="L1257" s="145" t="s">
        <v>154</v>
      </c>
      <c r="M1257" s="127"/>
      <c r="N1257" s="127"/>
      <c r="O1257" s="127"/>
    </row>
    <row r="1258" spans="1:15" ht="15.6" hidden="1">
      <c r="A1258" s="334">
        <v>45859</v>
      </c>
      <c r="B1258" s="302" t="s">
        <v>2100</v>
      </c>
      <c r="C1258" s="303" t="s">
        <v>173</v>
      </c>
      <c r="D1258" s="304" t="s">
        <v>118</v>
      </c>
      <c r="E1258" s="302">
        <v>1000</v>
      </c>
      <c r="F1258" s="317">
        <f t="shared" si="5"/>
        <v>1.8718245666117783</v>
      </c>
      <c r="G1258" s="344">
        <v>534.23810000000003</v>
      </c>
      <c r="H1258" s="306" t="s">
        <v>152</v>
      </c>
      <c r="I1258" s="307" t="s">
        <v>2116</v>
      </c>
      <c r="J1258" s="127" t="s">
        <v>97</v>
      </c>
      <c r="K1258" s="127" t="s">
        <v>1133</v>
      </c>
      <c r="L1258" s="145" t="s">
        <v>154</v>
      </c>
      <c r="M1258" s="127"/>
      <c r="N1258" s="127"/>
      <c r="O1258" s="127"/>
    </row>
    <row r="1259" spans="1:15" ht="15.6" hidden="1">
      <c r="A1259" s="334">
        <v>45859</v>
      </c>
      <c r="B1259" s="302" t="s">
        <v>2101</v>
      </c>
      <c r="C1259" s="303" t="s">
        <v>173</v>
      </c>
      <c r="D1259" s="304" t="s">
        <v>118</v>
      </c>
      <c r="E1259" s="302">
        <v>1000</v>
      </c>
      <c r="F1259" s="317">
        <f t="shared" si="5"/>
        <v>1.8718245666117783</v>
      </c>
      <c r="G1259" s="344">
        <v>534.23810000000003</v>
      </c>
      <c r="H1259" s="306" t="s">
        <v>152</v>
      </c>
      <c r="I1259" s="307" t="s">
        <v>2116</v>
      </c>
      <c r="J1259" s="127" t="s">
        <v>97</v>
      </c>
      <c r="K1259" s="127" t="s">
        <v>1133</v>
      </c>
      <c r="L1259" s="145" t="s">
        <v>154</v>
      </c>
      <c r="M1259" s="127"/>
      <c r="N1259" s="127"/>
      <c r="O1259" s="127"/>
    </row>
    <row r="1260" spans="1:15" ht="15.6" hidden="1">
      <c r="A1260" s="334">
        <v>45859</v>
      </c>
      <c r="B1260" s="335" t="s">
        <v>2178</v>
      </c>
      <c r="C1260" s="335" t="s">
        <v>173</v>
      </c>
      <c r="D1260" s="335" t="s">
        <v>116</v>
      </c>
      <c r="E1260" s="324">
        <v>2000</v>
      </c>
      <c r="F1260" s="317">
        <f t="shared" si="5"/>
        <v>3.7436491332235566</v>
      </c>
      <c r="G1260" s="344">
        <v>534.23810000000003</v>
      </c>
      <c r="H1260" s="335" t="s">
        <v>189</v>
      </c>
      <c r="I1260" s="127" t="s">
        <v>2185</v>
      </c>
      <c r="J1260" s="127" t="s">
        <v>97</v>
      </c>
      <c r="K1260" s="127" t="s">
        <v>1133</v>
      </c>
      <c r="L1260" s="145" t="s">
        <v>154</v>
      </c>
      <c r="M1260" s="127"/>
      <c r="N1260" s="127"/>
      <c r="O1260" s="127"/>
    </row>
    <row r="1261" spans="1:15" ht="15.6" hidden="1">
      <c r="A1261" s="334">
        <v>45859</v>
      </c>
      <c r="B1261" s="335" t="s">
        <v>2179</v>
      </c>
      <c r="C1261" s="335" t="s">
        <v>173</v>
      </c>
      <c r="D1261" s="335" t="s">
        <v>116</v>
      </c>
      <c r="E1261" s="324">
        <v>1500</v>
      </c>
      <c r="F1261" s="317">
        <f t="shared" si="5"/>
        <v>2.8077368499176676</v>
      </c>
      <c r="G1261" s="344">
        <v>534.23810000000003</v>
      </c>
      <c r="H1261" s="335" t="s">
        <v>189</v>
      </c>
      <c r="I1261" s="127" t="s">
        <v>2185</v>
      </c>
      <c r="J1261" s="127" t="s">
        <v>97</v>
      </c>
      <c r="K1261" s="127" t="s">
        <v>1133</v>
      </c>
      <c r="L1261" s="145" t="s">
        <v>154</v>
      </c>
      <c r="M1261" s="127"/>
      <c r="N1261" s="127"/>
      <c r="O1261" s="127"/>
    </row>
    <row r="1262" spans="1:15" ht="15.6" hidden="1">
      <c r="A1262" s="334">
        <v>45859</v>
      </c>
      <c r="B1262" s="335" t="s">
        <v>2180</v>
      </c>
      <c r="C1262" s="335" t="s">
        <v>173</v>
      </c>
      <c r="D1262" s="335" t="s">
        <v>116</v>
      </c>
      <c r="E1262" s="324">
        <v>1500</v>
      </c>
      <c r="F1262" s="317">
        <f t="shared" si="5"/>
        <v>2.8077368499176676</v>
      </c>
      <c r="G1262" s="344">
        <v>534.23810000000003</v>
      </c>
      <c r="H1262" s="335" t="s">
        <v>189</v>
      </c>
      <c r="I1262" s="127" t="s">
        <v>2185</v>
      </c>
      <c r="J1262" s="127" t="s">
        <v>97</v>
      </c>
      <c r="K1262" s="127" t="s">
        <v>1133</v>
      </c>
      <c r="L1262" s="145" t="s">
        <v>154</v>
      </c>
      <c r="M1262" s="127"/>
      <c r="N1262" s="127"/>
      <c r="O1262" s="127"/>
    </row>
    <row r="1263" spans="1:15" ht="15.6" hidden="1">
      <c r="A1263" s="334">
        <v>45859</v>
      </c>
      <c r="B1263" s="335" t="s">
        <v>2181</v>
      </c>
      <c r="C1263" s="335" t="s">
        <v>173</v>
      </c>
      <c r="D1263" s="335" t="s">
        <v>116</v>
      </c>
      <c r="E1263" s="324">
        <v>2000</v>
      </c>
      <c r="F1263" s="317">
        <f t="shared" si="5"/>
        <v>3.7436491332235566</v>
      </c>
      <c r="G1263" s="344">
        <v>534.23810000000003</v>
      </c>
      <c r="H1263" s="335" t="s">
        <v>189</v>
      </c>
      <c r="I1263" s="127" t="s">
        <v>2185</v>
      </c>
      <c r="J1263" s="127" t="s">
        <v>97</v>
      </c>
      <c r="K1263" s="127" t="s">
        <v>1133</v>
      </c>
      <c r="L1263" s="145" t="s">
        <v>154</v>
      </c>
      <c r="M1263" s="127"/>
      <c r="N1263" s="127"/>
      <c r="O1263" s="127"/>
    </row>
    <row r="1264" spans="1:15" ht="15.6" hidden="1">
      <c r="A1264" s="334">
        <v>45859</v>
      </c>
      <c r="B1264" s="335" t="s">
        <v>2182</v>
      </c>
      <c r="C1264" s="335" t="s">
        <v>173</v>
      </c>
      <c r="D1264" s="335" t="s">
        <v>116</v>
      </c>
      <c r="E1264" s="324">
        <v>2000</v>
      </c>
      <c r="F1264" s="317">
        <f t="shared" si="5"/>
        <v>3.7436491332235566</v>
      </c>
      <c r="G1264" s="344">
        <v>534.23810000000003</v>
      </c>
      <c r="H1264" s="335" t="s">
        <v>189</v>
      </c>
      <c r="I1264" s="127" t="s">
        <v>2185</v>
      </c>
      <c r="J1264" s="127" t="s">
        <v>97</v>
      </c>
      <c r="K1264" s="127" t="s">
        <v>1133</v>
      </c>
      <c r="L1264" s="145" t="s">
        <v>154</v>
      </c>
      <c r="M1264" s="127"/>
      <c r="N1264" s="127"/>
      <c r="O1264" s="127"/>
    </row>
    <row r="1265" spans="1:15" ht="15.6" hidden="1">
      <c r="A1265" s="334">
        <v>45859</v>
      </c>
      <c r="B1265" s="335" t="s">
        <v>2183</v>
      </c>
      <c r="C1265" s="335" t="s">
        <v>173</v>
      </c>
      <c r="D1265" s="335" t="s">
        <v>116</v>
      </c>
      <c r="E1265" s="324">
        <v>1000</v>
      </c>
      <c r="F1265" s="317">
        <f t="shared" si="5"/>
        <v>1.8718245666117783</v>
      </c>
      <c r="G1265" s="344">
        <v>534.23810000000003</v>
      </c>
      <c r="H1265" s="335" t="s">
        <v>189</v>
      </c>
      <c r="I1265" s="127" t="s">
        <v>2185</v>
      </c>
      <c r="J1265" s="127" t="s">
        <v>97</v>
      </c>
      <c r="K1265" s="127" t="s">
        <v>1133</v>
      </c>
      <c r="L1265" s="145" t="s">
        <v>154</v>
      </c>
      <c r="M1265" s="127"/>
      <c r="N1265" s="127"/>
      <c r="O1265" s="127"/>
    </row>
    <row r="1266" spans="1:15" ht="15.6" hidden="1">
      <c r="A1266" s="334">
        <v>45859</v>
      </c>
      <c r="B1266" s="335" t="s">
        <v>818</v>
      </c>
      <c r="C1266" s="335" t="s">
        <v>171</v>
      </c>
      <c r="D1266" s="335" t="s">
        <v>117</v>
      </c>
      <c r="E1266" s="324">
        <v>31250</v>
      </c>
      <c r="F1266" s="317">
        <f t="shared" si="5"/>
        <v>58.494517706618076</v>
      </c>
      <c r="G1266" s="344">
        <v>534.23810000000003</v>
      </c>
      <c r="H1266" s="248" t="s">
        <v>189</v>
      </c>
      <c r="I1266" s="129" t="s">
        <v>2186</v>
      </c>
      <c r="J1266" s="127" t="s">
        <v>97</v>
      </c>
      <c r="K1266" s="127" t="s">
        <v>1133</v>
      </c>
      <c r="L1266" s="145" t="s">
        <v>154</v>
      </c>
      <c r="M1266" s="127"/>
      <c r="N1266" s="127"/>
      <c r="O1266" s="127"/>
    </row>
    <row r="1267" spans="1:15" ht="15.6" hidden="1">
      <c r="A1267" s="334">
        <v>45859</v>
      </c>
      <c r="B1267" s="181" t="s">
        <v>2195</v>
      </c>
      <c r="C1267" s="181" t="s">
        <v>173</v>
      </c>
      <c r="D1267" s="181" t="s">
        <v>116</v>
      </c>
      <c r="E1267" s="324">
        <v>2000</v>
      </c>
      <c r="F1267" s="317">
        <f t="shared" si="5"/>
        <v>3.7436491332235566</v>
      </c>
      <c r="G1267" s="344">
        <v>534.23810000000003</v>
      </c>
      <c r="H1267" s="181" t="s">
        <v>192</v>
      </c>
      <c r="I1267" s="181" t="s">
        <v>2201</v>
      </c>
      <c r="J1267" s="127" t="s">
        <v>97</v>
      </c>
      <c r="K1267" s="127" t="s">
        <v>1133</v>
      </c>
      <c r="L1267" s="145" t="s">
        <v>154</v>
      </c>
      <c r="M1267" s="127"/>
      <c r="N1267" s="127"/>
      <c r="O1267" s="127"/>
    </row>
    <row r="1268" spans="1:15" ht="15.6" hidden="1">
      <c r="A1268" s="334">
        <v>45859</v>
      </c>
      <c r="B1268" s="181" t="s">
        <v>2196</v>
      </c>
      <c r="C1268" s="181" t="s">
        <v>173</v>
      </c>
      <c r="D1268" s="181" t="s">
        <v>116</v>
      </c>
      <c r="E1268" s="324">
        <v>2000</v>
      </c>
      <c r="F1268" s="317">
        <f t="shared" si="5"/>
        <v>3.7436491332235566</v>
      </c>
      <c r="G1268" s="344">
        <v>534.23810000000003</v>
      </c>
      <c r="H1268" s="181" t="s">
        <v>192</v>
      </c>
      <c r="I1268" s="181" t="s">
        <v>2201</v>
      </c>
      <c r="J1268" s="127" t="s">
        <v>97</v>
      </c>
      <c r="K1268" s="127" t="s">
        <v>1133</v>
      </c>
      <c r="L1268" s="145" t="s">
        <v>154</v>
      </c>
      <c r="M1268" s="127"/>
      <c r="N1268" s="127"/>
      <c r="O1268" s="127"/>
    </row>
    <row r="1269" spans="1:15" ht="15.6" hidden="1">
      <c r="A1269" s="334">
        <v>45859</v>
      </c>
      <c r="B1269" s="181" t="s">
        <v>2197</v>
      </c>
      <c r="C1269" s="181" t="s">
        <v>173</v>
      </c>
      <c r="D1269" s="181" t="s">
        <v>116</v>
      </c>
      <c r="E1269" s="324">
        <v>3000</v>
      </c>
      <c r="F1269" s="317">
        <f t="shared" si="5"/>
        <v>5.6154736998353352</v>
      </c>
      <c r="G1269" s="344">
        <v>534.23810000000003</v>
      </c>
      <c r="H1269" s="181" t="s">
        <v>192</v>
      </c>
      <c r="I1269" s="181" t="s">
        <v>2201</v>
      </c>
      <c r="J1269" s="127" t="s">
        <v>97</v>
      </c>
      <c r="K1269" s="127" t="s">
        <v>1133</v>
      </c>
      <c r="L1269" s="145" t="s">
        <v>154</v>
      </c>
      <c r="M1269" s="127"/>
      <c r="N1269" s="127"/>
      <c r="O1269" s="127"/>
    </row>
    <row r="1270" spans="1:15" ht="15.6" hidden="1">
      <c r="A1270" s="334">
        <v>45859</v>
      </c>
      <c r="B1270" s="181" t="s">
        <v>818</v>
      </c>
      <c r="C1270" s="181" t="s">
        <v>171</v>
      </c>
      <c r="D1270" s="335" t="s">
        <v>117</v>
      </c>
      <c r="E1270" s="324">
        <v>31250</v>
      </c>
      <c r="F1270" s="317">
        <f t="shared" si="5"/>
        <v>58.494517706618076</v>
      </c>
      <c r="G1270" s="344">
        <v>534.23810000000003</v>
      </c>
      <c r="H1270" s="248" t="s">
        <v>192</v>
      </c>
      <c r="I1270" s="248" t="s">
        <v>2203</v>
      </c>
      <c r="J1270" s="127" t="s">
        <v>97</v>
      </c>
      <c r="K1270" s="127" t="s">
        <v>1133</v>
      </c>
      <c r="L1270" s="145" t="s">
        <v>154</v>
      </c>
      <c r="M1270" s="127"/>
      <c r="N1270" s="127"/>
      <c r="O1270" s="127"/>
    </row>
    <row r="1271" spans="1:15" ht="15.6" hidden="1">
      <c r="A1271" s="334">
        <v>45860</v>
      </c>
      <c r="B1271" s="302" t="s">
        <v>2100</v>
      </c>
      <c r="C1271" s="303" t="s">
        <v>173</v>
      </c>
      <c r="D1271" s="304" t="s">
        <v>118</v>
      </c>
      <c r="E1271" s="302">
        <v>1000</v>
      </c>
      <c r="F1271" s="317">
        <f t="shared" si="5"/>
        <v>1.8718245666117783</v>
      </c>
      <c r="G1271" s="344">
        <v>534.23810000000003</v>
      </c>
      <c r="H1271" s="306" t="s">
        <v>152</v>
      </c>
      <c r="I1271" s="307" t="s">
        <v>2116</v>
      </c>
      <c r="J1271" s="127" t="s">
        <v>97</v>
      </c>
      <c r="K1271" s="127" t="s">
        <v>1133</v>
      </c>
      <c r="L1271" s="145" t="s">
        <v>154</v>
      </c>
      <c r="M1271" s="127"/>
      <c r="N1271" s="127"/>
      <c r="O1271" s="127"/>
    </row>
    <row r="1272" spans="1:15" ht="15.6" hidden="1">
      <c r="A1272" s="334">
        <v>45860</v>
      </c>
      <c r="B1272" s="302" t="s">
        <v>2113</v>
      </c>
      <c r="C1272" s="303" t="s">
        <v>173</v>
      </c>
      <c r="D1272" s="304" t="s">
        <v>118</v>
      </c>
      <c r="E1272" s="302">
        <v>1000</v>
      </c>
      <c r="F1272" s="317">
        <f t="shared" si="5"/>
        <v>1.8718245666117783</v>
      </c>
      <c r="G1272" s="344">
        <v>534.23810000000003</v>
      </c>
      <c r="H1272" s="306" t="s">
        <v>152</v>
      </c>
      <c r="I1272" s="307" t="s">
        <v>2116</v>
      </c>
      <c r="J1272" s="127" t="s">
        <v>97</v>
      </c>
      <c r="K1272" s="127" t="s">
        <v>1133</v>
      </c>
      <c r="L1272" s="145" t="s">
        <v>154</v>
      </c>
      <c r="M1272" s="127"/>
      <c r="N1272" s="127"/>
      <c r="O1272" s="127"/>
    </row>
    <row r="1273" spans="1:15" ht="15.6" hidden="1">
      <c r="A1273" s="334">
        <v>45860</v>
      </c>
      <c r="B1273" s="335" t="s">
        <v>2141</v>
      </c>
      <c r="C1273" s="335" t="s">
        <v>173</v>
      </c>
      <c r="D1273" s="335" t="s">
        <v>117</v>
      </c>
      <c r="E1273" s="324">
        <v>1000</v>
      </c>
      <c r="F1273" s="317">
        <f t="shared" si="5"/>
        <v>1.8718245666117783</v>
      </c>
      <c r="G1273" s="344">
        <v>534.23810000000003</v>
      </c>
      <c r="H1273" s="335" t="s">
        <v>583</v>
      </c>
      <c r="I1273" s="127" t="s">
        <v>2165</v>
      </c>
      <c r="J1273" s="127" t="s">
        <v>97</v>
      </c>
      <c r="K1273" s="127" t="s">
        <v>1133</v>
      </c>
      <c r="L1273" s="145" t="s">
        <v>154</v>
      </c>
      <c r="M1273" s="127"/>
      <c r="N1273" s="127"/>
      <c r="O1273" s="127"/>
    </row>
    <row r="1274" spans="1:15" ht="15.6" hidden="1">
      <c r="A1274" s="334">
        <v>45860</v>
      </c>
      <c r="B1274" s="335" t="s">
        <v>2142</v>
      </c>
      <c r="C1274" s="335" t="s">
        <v>173</v>
      </c>
      <c r="D1274" s="335" t="s">
        <v>117</v>
      </c>
      <c r="E1274" s="324">
        <v>1000</v>
      </c>
      <c r="F1274" s="317">
        <f t="shared" si="5"/>
        <v>1.8718245666117783</v>
      </c>
      <c r="G1274" s="344">
        <v>534.23810000000003</v>
      </c>
      <c r="H1274" s="335" t="s">
        <v>583</v>
      </c>
      <c r="I1274" s="127" t="s">
        <v>2165</v>
      </c>
      <c r="J1274" s="127" t="s">
        <v>97</v>
      </c>
      <c r="K1274" s="127" t="s">
        <v>1133</v>
      </c>
      <c r="L1274" s="145" t="s">
        <v>154</v>
      </c>
      <c r="M1274" s="127"/>
      <c r="N1274" s="127"/>
      <c r="O1274" s="127"/>
    </row>
    <row r="1275" spans="1:15" ht="15.6" hidden="1">
      <c r="A1275" s="334">
        <v>45860</v>
      </c>
      <c r="B1275" s="335" t="s">
        <v>2143</v>
      </c>
      <c r="C1275" s="335" t="s">
        <v>173</v>
      </c>
      <c r="D1275" s="335" t="s">
        <v>117</v>
      </c>
      <c r="E1275" s="324">
        <v>1000</v>
      </c>
      <c r="F1275" s="317">
        <f t="shared" si="5"/>
        <v>1.8718245666117783</v>
      </c>
      <c r="G1275" s="344">
        <v>534.23810000000003</v>
      </c>
      <c r="H1275" s="335" t="s">
        <v>583</v>
      </c>
      <c r="I1275" s="127" t="s">
        <v>2165</v>
      </c>
      <c r="J1275" s="127" t="s">
        <v>97</v>
      </c>
      <c r="K1275" s="127" t="s">
        <v>1133</v>
      </c>
      <c r="L1275" s="145" t="s">
        <v>154</v>
      </c>
      <c r="M1275" s="127"/>
      <c r="N1275" s="127"/>
      <c r="O1275" s="127"/>
    </row>
    <row r="1276" spans="1:15" ht="15.6" hidden="1">
      <c r="A1276" s="334">
        <v>45860</v>
      </c>
      <c r="B1276" s="335" t="s">
        <v>2144</v>
      </c>
      <c r="C1276" s="335" t="s">
        <v>173</v>
      </c>
      <c r="D1276" s="335" t="s">
        <v>117</v>
      </c>
      <c r="E1276" s="324">
        <v>1000</v>
      </c>
      <c r="F1276" s="317">
        <f t="shared" si="5"/>
        <v>1.8718245666117783</v>
      </c>
      <c r="G1276" s="344">
        <v>534.23810000000003</v>
      </c>
      <c r="H1276" s="335" t="s">
        <v>583</v>
      </c>
      <c r="I1276" s="127" t="s">
        <v>2165</v>
      </c>
      <c r="J1276" s="127" t="s">
        <v>97</v>
      </c>
      <c r="K1276" s="127" t="s">
        <v>1133</v>
      </c>
      <c r="L1276" s="145" t="s">
        <v>154</v>
      </c>
      <c r="M1276" s="127"/>
      <c r="N1276" s="127"/>
      <c r="O1276" s="127"/>
    </row>
    <row r="1277" spans="1:15" ht="15.6" hidden="1">
      <c r="A1277" s="334">
        <v>45860</v>
      </c>
      <c r="B1277" s="335" t="s">
        <v>2145</v>
      </c>
      <c r="C1277" s="335" t="s">
        <v>173</v>
      </c>
      <c r="D1277" s="335" t="s">
        <v>117</v>
      </c>
      <c r="E1277" s="324">
        <v>1000</v>
      </c>
      <c r="F1277" s="317">
        <f t="shared" ref="F1277:F1282" si="6">E1277/G1277</f>
        <v>1.8718245666117783</v>
      </c>
      <c r="G1277" s="344">
        <v>534.23810000000003</v>
      </c>
      <c r="H1277" s="335" t="s">
        <v>583</v>
      </c>
      <c r="I1277" s="127" t="s">
        <v>2165</v>
      </c>
      <c r="J1277" s="127" t="s">
        <v>97</v>
      </c>
      <c r="K1277" s="127" t="s">
        <v>1133</v>
      </c>
      <c r="L1277" s="145" t="s">
        <v>154</v>
      </c>
      <c r="M1277" s="325"/>
      <c r="N1277" s="325"/>
      <c r="O1277" s="127"/>
    </row>
    <row r="1278" spans="1:15" ht="15.6" hidden="1">
      <c r="A1278" s="334">
        <v>45860</v>
      </c>
      <c r="B1278" s="181" t="s">
        <v>2332</v>
      </c>
      <c r="C1278" s="181" t="s">
        <v>151</v>
      </c>
      <c r="D1278" s="181" t="s">
        <v>116</v>
      </c>
      <c r="E1278" s="244">
        <v>5000</v>
      </c>
      <c r="F1278" s="317">
        <f t="shared" si="6"/>
        <v>9.3591228330588923</v>
      </c>
      <c r="G1278" s="344">
        <v>534.23810000000003</v>
      </c>
      <c r="H1278" s="256" t="s">
        <v>196</v>
      </c>
      <c r="I1278" s="181" t="s">
        <v>2217</v>
      </c>
      <c r="J1278" s="127" t="s">
        <v>97</v>
      </c>
      <c r="K1278" s="127" t="s">
        <v>1133</v>
      </c>
      <c r="L1278" s="145" t="s">
        <v>154</v>
      </c>
      <c r="M1278" s="127"/>
      <c r="N1278" s="127"/>
      <c r="O1278" s="127"/>
    </row>
    <row r="1279" spans="1:15" ht="15.6" hidden="1">
      <c r="A1279" s="334">
        <v>45860</v>
      </c>
      <c r="B1279" s="181" t="s">
        <v>2205</v>
      </c>
      <c r="C1279" s="243" t="s">
        <v>195</v>
      </c>
      <c r="D1279" s="243" t="s">
        <v>116</v>
      </c>
      <c r="E1279" s="244">
        <v>1000</v>
      </c>
      <c r="F1279" s="317">
        <f t="shared" si="6"/>
        <v>1.8718245666117783</v>
      </c>
      <c r="G1279" s="344">
        <v>534.23810000000003</v>
      </c>
      <c r="H1279" s="256" t="s">
        <v>196</v>
      </c>
      <c r="I1279" s="181" t="s">
        <v>2218</v>
      </c>
      <c r="J1279" s="127" t="s">
        <v>97</v>
      </c>
      <c r="K1279" s="127" t="s">
        <v>1133</v>
      </c>
      <c r="L1279" s="145" t="s">
        <v>154</v>
      </c>
      <c r="M1279" s="127"/>
      <c r="N1279" s="127"/>
      <c r="O1279" s="127"/>
    </row>
    <row r="1280" spans="1:15" ht="15.6" hidden="1">
      <c r="A1280" s="334">
        <v>45860</v>
      </c>
      <c r="B1280" s="181" t="s">
        <v>1397</v>
      </c>
      <c r="C1280" s="243" t="s">
        <v>195</v>
      </c>
      <c r="D1280" s="243" t="s">
        <v>116</v>
      </c>
      <c r="E1280" s="244">
        <v>7000</v>
      </c>
      <c r="F1280" s="317">
        <f t="shared" si="6"/>
        <v>13.102771966282448</v>
      </c>
      <c r="G1280" s="344">
        <v>534.23810000000003</v>
      </c>
      <c r="H1280" s="256" t="s">
        <v>196</v>
      </c>
      <c r="I1280" s="181" t="s">
        <v>2219</v>
      </c>
      <c r="J1280" s="127" t="s">
        <v>97</v>
      </c>
      <c r="K1280" s="127" t="s">
        <v>1133</v>
      </c>
      <c r="L1280" s="145" t="s">
        <v>154</v>
      </c>
      <c r="M1280" s="127"/>
      <c r="N1280" s="127"/>
      <c r="O1280" s="127"/>
    </row>
    <row r="1281" spans="1:15" ht="15.6" hidden="1">
      <c r="A1281" s="334">
        <v>45860</v>
      </c>
      <c r="B1281" s="181" t="s">
        <v>2206</v>
      </c>
      <c r="C1281" s="243" t="s">
        <v>195</v>
      </c>
      <c r="D1281" s="243" t="s">
        <v>116</v>
      </c>
      <c r="E1281" s="244">
        <v>1000</v>
      </c>
      <c r="F1281" s="317">
        <f t="shared" si="6"/>
        <v>1.8718245666117783</v>
      </c>
      <c r="G1281" s="344">
        <v>534.23810000000003</v>
      </c>
      <c r="H1281" s="256" t="s">
        <v>196</v>
      </c>
      <c r="I1281" s="181" t="s">
        <v>2218</v>
      </c>
      <c r="J1281" s="127" t="s">
        <v>97</v>
      </c>
      <c r="K1281" s="127" t="s">
        <v>1133</v>
      </c>
      <c r="L1281" s="145" t="s">
        <v>154</v>
      </c>
      <c r="M1281" s="127"/>
      <c r="N1281" s="127"/>
      <c r="O1281" s="127"/>
    </row>
    <row r="1282" spans="1:15" ht="15.6" hidden="1">
      <c r="A1282" s="334">
        <v>45860</v>
      </c>
      <c r="B1282" s="335" t="s">
        <v>2223</v>
      </c>
      <c r="C1282" s="181" t="s">
        <v>173</v>
      </c>
      <c r="D1282" s="345" t="s">
        <v>119</v>
      </c>
      <c r="E1282" s="343">
        <v>1000</v>
      </c>
      <c r="F1282" s="317">
        <f t="shared" si="6"/>
        <v>1.8718245666117783</v>
      </c>
      <c r="G1282" s="344">
        <v>534.23810000000003</v>
      </c>
      <c r="H1282" s="335" t="s">
        <v>212</v>
      </c>
      <c r="I1282" s="127" t="s">
        <v>2234</v>
      </c>
      <c r="J1282" s="127" t="s">
        <v>97</v>
      </c>
      <c r="K1282" s="127" t="s">
        <v>1133</v>
      </c>
      <c r="L1282" s="145" t="s">
        <v>154</v>
      </c>
      <c r="M1282" s="127"/>
      <c r="N1282" s="127"/>
      <c r="O1282" s="127"/>
    </row>
    <row r="1283" spans="1:15" ht="15.6" hidden="1">
      <c r="A1283" s="334">
        <v>45860</v>
      </c>
      <c r="B1283" s="328" t="s">
        <v>2287</v>
      </c>
      <c r="C1283" s="179" t="s">
        <v>124</v>
      </c>
      <c r="D1283" s="179"/>
      <c r="E1283" s="332"/>
      <c r="F1283" s="317"/>
      <c r="G1283" s="346">
        <f>+M1283/N1283</f>
        <v>537.75419999999997</v>
      </c>
      <c r="H1283" s="335" t="s">
        <v>147</v>
      </c>
      <c r="I1283" s="127" t="s">
        <v>2310</v>
      </c>
      <c r="J1283" s="127" t="s">
        <v>97</v>
      </c>
      <c r="K1283" s="127" t="s">
        <v>2311</v>
      </c>
      <c r="L1283" s="145" t="s">
        <v>154</v>
      </c>
      <c r="M1283" s="325">
        <v>5377542</v>
      </c>
      <c r="N1283" s="127">
        <v>10000</v>
      </c>
      <c r="O1283" s="127"/>
    </row>
    <row r="1284" spans="1:15" ht="15.6" hidden="1">
      <c r="A1284" s="334">
        <v>45861</v>
      </c>
      <c r="B1284" s="302" t="s">
        <v>2100</v>
      </c>
      <c r="C1284" s="303" t="s">
        <v>173</v>
      </c>
      <c r="D1284" s="304" t="s">
        <v>118</v>
      </c>
      <c r="E1284" s="302">
        <v>1000</v>
      </c>
      <c r="F1284" s="317">
        <f t="shared" ref="F1284:F1315" si="7">E1284/G1284</f>
        <v>1.8595856619994786</v>
      </c>
      <c r="G1284" s="344">
        <v>537.75419999999997</v>
      </c>
      <c r="H1284" s="306" t="s">
        <v>152</v>
      </c>
      <c r="I1284" s="307" t="s">
        <v>2116</v>
      </c>
      <c r="J1284" s="127" t="s">
        <v>97</v>
      </c>
      <c r="K1284" s="127" t="s">
        <v>2311</v>
      </c>
      <c r="L1284" s="145" t="s">
        <v>154</v>
      </c>
      <c r="M1284" s="127"/>
      <c r="N1284" s="127"/>
      <c r="O1284" s="127"/>
    </row>
    <row r="1285" spans="1:15" ht="15.6" hidden="1">
      <c r="A1285" s="334">
        <v>45861</v>
      </c>
      <c r="B1285" s="302" t="s">
        <v>2101</v>
      </c>
      <c r="C1285" s="303" t="s">
        <v>173</v>
      </c>
      <c r="D1285" s="304" t="s">
        <v>118</v>
      </c>
      <c r="E1285" s="302">
        <v>1000</v>
      </c>
      <c r="F1285" s="317">
        <f t="shared" si="7"/>
        <v>1.8595856619994786</v>
      </c>
      <c r="G1285" s="344">
        <v>537.75419999999997</v>
      </c>
      <c r="H1285" s="306" t="s">
        <v>152</v>
      </c>
      <c r="I1285" s="307" t="s">
        <v>2116</v>
      </c>
      <c r="J1285" s="127" t="s">
        <v>97</v>
      </c>
      <c r="K1285" s="127" t="s">
        <v>2311</v>
      </c>
      <c r="L1285" s="145" t="s">
        <v>154</v>
      </c>
      <c r="M1285" s="127"/>
      <c r="N1285" s="127"/>
      <c r="O1285" s="127"/>
    </row>
    <row r="1286" spans="1:15" ht="15.6" hidden="1">
      <c r="A1286" s="334">
        <v>45861</v>
      </c>
      <c r="B1286" s="181" t="s">
        <v>2207</v>
      </c>
      <c r="C1286" s="243" t="s">
        <v>195</v>
      </c>
      <c r="D1286" s="243" t="s">
        <v>116</v>
      </c>
      <c r="E1286" s="244">
        <v>1000</v>
      </c>
      <c r="F1286" s="317">
        <f t="shared" si="7"/>
        <v>1.8595856619994786</v>
      </c>
      <c r="G1286" s="344">
        <v>537.75419999999997</v>
      </c>
      <c r="H1286" s="256" t="s">
        <v>196</v>
      </c>
      <c r="I1286" s="181" t="s">
        <v>2218</v>
      </c>
      <c r="J1286" s="127" t="s">
        <v>97</v>
      </c>
      <c r="K1286" s="127" t="s">
        <v>2311</v>
      </c>
      <c r="L1286" s="145" t="s">
        <v>154</v>
      </c>
      <c r="M1286" s="127"/>
      <c r="N1286" s="127"/>
      <c r="O1286" s="127"/>
    </row>
    <row r="1287" spans="1:15" ht="15.6" hidden="1">
      <c r="A1287" s="334">
        <v>45861</v>
      </c>
      <c r="B1287" s="181" t="s">
        <v>2208</v>
      </c>
      <c r="C1287" s="243" t="s">
        <v>195</v>
      </c>
      <c r="D1287" s="243" t="s">
        <v>116</v>
      </c>
      <c r="E1287" s="244">
        <v>500</v>
      </c>
      <c r="F1287" s="317">
        <f t="shared" si="7"/>
        <v>0.92979283099973931</v>
      </c>
      <c r="G1287" s="344">
        <v>537.75419999999997</v>
      </c>
      <c r="H1287" s="256" t="s">
        <v>196</v>
      </c>
      <c r="I1287" s="181" t="s">
        <v>2218</v>
      </c>
      <c r="J1287" s="127" t="s">
        <v>97</v>
      </c>
      <c r="K1287" s="127" t="s">
        <v>2311</v>
      </c>
      <c r="L1287" s="145" t="s">
        <v>154</v>
      </c>
      <c r="M1287" s="127"/>
      <c r="N1287" s="127"/>
      <c r="O1287" s="127"/>
    </row>
    <row r="1288" spans="1:15" ht="15.6" hidden="1">
      <c r="A1288" s="334">
        <v>45861</v>
      </c>
      <c r="B1288" s="247" t="s">
        <v>2209</v>
      </c>
      <c r="C1288" s="247" t="s">
        <v>176</v>
      </c>
      <c r="D1288" s="247" t="s">
        <v>116</v>
      </c>
      <c r="E1288" s="244">
        <v>20000</v>
      </c>
      <c r="F1288" s="317">
        <f t="shared" si="7"/>
        <v>37.191713239989575</v>
      </c>
      <c r="G1288" s="344">
        <v>537.75419999999997</v>
      </c>
      <c r="H1288" s="256" t="s">
        <v>196</v>
      </c>
      <c r="I1288" s="181" t="s">
        <v>2220</v>
      </c>
      <c r="J1288" s="127" t="s">
        <v>97</v>
      </c>
      <c r="K1288" s="127" t="s">
        <v>2311</v>
      </c>
      <c r="L1288" s="145" t="s">
        <v>154</v>
      </c>
      <c r="M1288" s="127"/>
      <c r="N1288" s="127"/>
      <c r="O1288" s="127"/>
    </row>
    <row r="1289" spans="1:15" ht="15.6" hidden="1">
      <c r="A1289" s="334">
        <v>45862</v>
      </c>
      <c r="B1289" s="302" t="s">
        <v>2100</v>
      </c>
      <c r="C1289" s="303" t="s">
        <v>173</v>
      </c>
      <c r="D1289" s="304" t="s">
        <v>118</v>
      </c>
      <c r="E1289" s="302">
        <v>1000</v>
      </c>
      <c r="F1289" s="317">
        <f t="shared" si="7"/>
        <v>1.8595856619994786</v>
      </c>
      <c r="G1289" s="344">
        <v>537.75419999999997</v>
      </c>
      <c r="H1289" s="306" t="s">
        <v>152</v>
      </c>
      <c r="I1289" s="307" t="s">
        <v>2116</v>
      </c>
      <c r="J1289" s="127" t="s">
        <v>97</v>
      </c>
      <c r="K1289" s="127" t="s">
        <v>2311</v>
      </c>
      <c r="L1289" s="145" t="s">
        <v>154</v>
      </c>
      <c r="M1289" s="127"/>
      <c r="N1289" s="127"/>
      <c r="O1289" s="127"/>
    </row>
    <row r="1290" spans="1:15" ht="15.6" hidden="1">
      <c r="A1290" s="334">
        <v>45862</v>
      </c>
      <c r="B1290" s="302" t="s">
        <v>2101</v>
      </c>
      <c r="C1290" s="303" t="s">
        <v>173</v>
      </c>
      <c r="D1290" s="304" t="s">
        <v>118</v>
      </c>
      <c r="E1290" s="302">
        <v>1000</v>
      </c>
      <c r="F1290" s="317">
        <f t="shared" si="7"/>
        <v>1.8595856619994786</v>
      </c>
      <c r="G1290" s="344">
        <v>537.75419999999997</v>
      </c>
      <c r="H1290" s="306" t="s">
        <v>152</v>
      </c>
      <c r="I1290" s="307" t="s">
        <v>2116</v>
      </c>
      <c r="J1290" s="127" t="s">
        <v>97</v>
      </c>
      <c r="K1290" s="127" t="s">
        <v>2311</v>
      </c>
      <c r="L1290" s="145" t="s">
        <v>154</v>
      </c>
      <c r="M1290" s="127"/>
      <c r="N1290" s="127"/>
      <c r="O1290" s="127"/>
    </row>
    <row r="1291" spans="1:15" ht="15.6" hidden="1">
      <c r="A1291" s="334">
        <v>45862</v>
      </c>
      <c r="B1291" s="337" t="s">
        <v>2121</v>
      </c>
      <c r="C1291" s="338" t="s">
        <v>173</v>
      </c>
      <c r="D1291" s="337" t="s">
        <v>116</v>
      </c>
      <c r="E1291" s="338">
        <v>1000</v>
      </c>
      <c r="F1291" s="317">
        <f t="shared" si="7"/>
        <v>1.8595856619994786</v>
      </c>
      <c r="G1291" s="344">
        <v>537.75419999999997</v>
      </c>
      <c r="H1291" s="339" t="s">
        <v>199</v>
      </c>
      <c r="I1291" s="311" t="s">
        <v>2127</v>
      </c>
      <c r="J1291" s="127" t="s">
        <v>97</v>
      </c>
      <c r="K1291" s="127" t="s">
        <v>2311</v>
      </c>
      <c r="L1291" s="145" t="s">
        <v>154</v>
      </c>
      <c r="M1291" s="127"/>
      <c r="N1291" s="127"/>
      <c r="O1291" s="127"/>
    </row>
    <row r="1292" spans="1:15" ht="15.6" hidden="1">
      <c r="A1292" s="334">
        <v>45862</v>
      </c>
      <c r="B1292" s="337" t="s">
        <v>2122</v>
      </c>
      <c r="C1292" s="338" t="s">
        <v>173</v>
      </c>
      <c r="D1292" s="337" t="s">
        <v>116</v>
      </c>
      <c r="E1292" s="338">
        <v>1000</v>
      </c>
      <c r="F1292" s="317">
        <f t="shared" si="7"/>
        <v>1.8595856619994786</v>
      </c>
      <c r="G1292" s="344">
        <v>537.75419999999997</v>
      </c>
      <c r="H1292" s="339" t="s">
        <v>199</v>
      </c>
      <c r="I1292" s="311" t="s">
        <v>2127</v>
      </c>
      <c r="J1292" s="127" t="s">
        <v>97</v>
      </c>
      <c r="K1292" s="127" t="s">
        <v>2311</v>
      </c>
      <c r="L1292" s="145" t="s">
        <v>154</v>
      </c>
      <c r="M1292" s="127"/>
      <c r="N1292" s="127"/>
      <c r="O1292" s="127"/>
    </row>
    <row r="1293" spans="1:15" ht="15.6" hidden="1">
      <c r="A1293" s="334">
        <v>45862</v>
      </c>
      <c r="B1293" s="337" t="s">
        <v>2123</v>
      </c>
      <c r="C1293" s="338" t="s">
        <v>173</v>
      </c>
      <c r="D1293" s="337" t="s">
        <v>116</v>
      </c>
      <c r="E1293" s="338">
        <v>1000</v>
      </c>
      <c r="F1293" s="317">
        <f t="shared" si="7"/>
        <v>1.8595856619994786</v>
      </c>
      <c r="G1293" s="344">
        <v>537.75419999999997</v>
      </c>
      <c r="H1293" s="339" t="s">
        <v>199</v>
      </c>
      <c r="I1293" s="311" t="s">
        <v>2127</v>
      </c>
      <c r="J1293" s="127" t="s">
        <v>97</v>
      </c>
      <c r="K1293" s="127" t="s">
        <v>2311</v>
      </c>
      <c r="L1293" s="145" t="s">
        <v>154</v>
      </c>
      <c r="M1293" s="127"/>
      <c r="N1293" s="127"/>
      <c r="O1293" s="127"/>
    </row>
    <row r="1294" spans="1:15" ht="15.6" hidden="1">
      <c r="A1294" s="334">
        <v>45862</v>
      </c>
      <c r="B1294" s="337" t="s">
        <v>2124</v>
      </c>
      <c r="C1294" s="338" t="s">
        <v>173</v>
      </c>
      <c r="D1294" s="337" t="s">
        <v>116</v>
      </c>
      <c r="E1294" s="338">
        <v>1000</v>
      </c>
      <c r="F1294" s="317">
        <f t="shared" si="7"/>
        <v>1.8595856619994786</v>
      </c>
      <c r="G1294" s="344">
        <v>537.75419999999997</v>
      </c>
      <c r="H1294" s="339" t="s">
        <v>199</v>
      </c>
      <c r="I1294" s="311" t="s">
        <v>2127</v>
      </c>
      <c r="J1294" s="127" t="s">
        <v>97</v>
      </c>
      <c r="K1294" s="127" t="s">
        <v>2311</v>
      </c>
      <c r="L1294" s="145" t="s">
        <v>154</v>
      </c>
      <c r="M1294" s="127"/>
      <c r="N1294" s="127"/>
      <c r="O1294" s="127"/>
    </row>
    <row r="1295" spans="1:15" ht="15.6" hidden="1">
      <c r="A1295" s="334">
        <v>45862</v>
      </c>
      <c r="B1295" s="335" t="s">
        <v>2146</v>
      </c>
      <c r="C1295" s="335" t="s">
        <v>173</v>
      </c>
      <c r="D1295" s="335" t="s">
        <v>117</v>
      </c>
      <c r="E1295" s="324">
        <v>1000</v>
      </c>
      <c r="F1295" s="317">
        <f t="shared" si="7"/>
        <v>1.8595856619994786</v>
      </c>
      <c r="G1295" s="344">
        <v>537.75419999999997</v>
      </c>
      <c r="H1295" s="335" t="s">
        <v>583</v>
      </c>
      <c r="I1295" s="127" t="s">
        <v>2165</v>
      </c>
      <c r="J1295" s="127" t="s">
        <v>97</v>
      </c>
      <c r="K1295" s="127" t="s">
        <v>2311</v>
      </c>
      <c r="L1295" s="145" t="s">
        <v>154</v>
      </c>
      <c r="M1295" s="145"/>
      <c r="N1295" s="127"/>
      <c r="O1295" s="127"/>
    </row>
    <row r="1296" spans="1:15" ht="15.6" hidden="1">
      <c r="A1296" s="334">
        <v>45862</v>
      </c>
      <c r="B1296" s="335" t="s">
        <v>2147</v>
      </c>
      <c r="C1296" s="335" t="s">
        <v>173</v>
      </c>
      <c r="D1296" s="335" t="s">
        <v>117</v>
      </c>
      <c r="E1296" s="324">
        <v>1000</v>
      </c>
      <c r="F1296" s="317">
        <f t="shared" si="7"/>
        <v>1.8595856619994786</v>
      </c>
      <c r="G1296" s="344">
        <v>537.75419999999997</v>
      </c>
      <c r="H1296" s="335" t="s">
        <v>583</v>
      </c>
      <c r="I1296" s="127" t="s">
        <v>2165</v>
      </c>
      <c r="J1296" s="127" t="s">
        <v>97</v>
      </c>
      <c r="K1296" s="127" t="s">
        <v>2311</v>
      </c>
      <c r="L1296" s="145" t="s">
        <v>154</v>
      </c>
      <c r="M1296" s="127"/>
      <c r="N1296" s="127"/>
      <c r="O1296" s="127"/>
    </row>
    <row r="1297" spans="1:15" ht="15.6" hidden="1">
      <c r="A1297" s="334">
        <v>45862</v>
      </c>
      <c r="B1297" s="335" t="s">
        <v>2148</v>
      </c>
      <c r="C1297" s="335" t="s">
        <v>173</v>
      </c>
      <c r="D1297" s="335" t="s">
        <v>117</v>
      </c>
      <c r="E1297" s="324">
        <v>1000</v>
      </c>
      <c r="F1297" s="317">
        <f t="shared" si="7"/>
        <v>1.8595856619994786</v>
      </c>
      <c r="G1297" s="344">
        <v>537.75419999999997</v>
      </c>
      <c r="H1297" s="335" t="s">
        <v>583</v>
      </c>
      <c r="I1297" s="127" t="s">
        <v>2165</v>
      </c>
      <c r="J1297" s="127" t="s">
        <v>97</v>
      </c>
      <c r="K1297" s="127" t="s">
        <v>2311</v>
      </c>
      <c r="L1297" s="145" t="s">
        <v>154</v>
      </c>
      <c r="M1297" s="127"/>
      <c r="N1297" s="127"/>
      <c r="O1297" s="127"/>
    </row>
    <row r="1298" spans="1:15" ht="15.6" hidden="1">
      <c r="A1298" s="334">
        <v>45862</v>
      </c>
      <c r="B1298" s="335" t="s">
        <v>2325</v>
      </c>
      <c r="C1298" s="335" t="s">
        <v>181</v>
      </c>
      <c r="D1298" s="335" t="s">
        <v>117</v>
      </c>
      <c r="E1298" s="324">
        <v>700</v>
      </c>
      <c r="F1298" s="317">
        <f t="shared" si="7"/>
        <v>1.3017099633996352</v>
      </c>
      <c r="G1298" s="344">
        <v>537.75419999999997</v>
      </c>
      <c r="H1298" s="335" t="s">
        <v>583</v>
      </c>
      <c r="I1298" s="127" t="s">
        <v>2169</v>
      </c>
      <c r="J1298" s="127" t="s">
        <v>97</v>
      </c>
      <c r="K1298" s="127" t="s">
        <v>2311</v>
      </c>
      <c r="L1298" s="145" t="s">
        <v>154</v>
      </c>
      <c r="M1298" s="127"/>
      <c r="N1298" s="127"/>
      <c r="O1298" s="127"/>
    </row>
    <row r="1299" spans="1:15" ht="15.6" hidden="1">
      <c r="A1299" s="334">
        <v>45862</v>
      </c>
      <c r="B1299" s="181" t="s">
        <v>2210</v>
      </c>
      <c r="C1299" s="243" t="s">
        <v>195</v>
      </c>
      <c r="D1299" s="243" t="s">
        <v>116</v>
      </c>
      <c r="E1299" s="244">
        <v>500</v>
      </c>
      <c r="F1299" s="317">
        <f t="shared" si="7"/>
        <v>0.92979283099973931</v>
      </c>
      <c r="G1299" s="344">
        <v>537.75419999999997</v>
      </c>
      <c r="H1299" s="256" t="s">
        <v>196</v>
      </c>
      <c r="I1299" s="181" t="s">
        <v>2218</v>
      </c>
      <c r="J1299" s="127" t="s">
        <v>97</v>
      </c>
      <c r="K1299" s="127" t="s">
        <v>2311</v>
      </c>
      <c r="L1299" s="145" t="s">
        <v>154</v>
      </c>
      <c r="M1299" s="127"/>
      <c r="N1299" s="127"/>
      <c r="O1299" s="127"/>
    </row>
    <row r="1300" spans="1:15" ht="15.6" hidden="1">
      <c r="A1300" s="334">
        <v>45862</v>
      </c>
      <c r="B1300" s="181" t="s">
        <v>2211</v>
      </c>
      <c r="C1300" s="243" t="s">
        <v>195</v>
      </c>
      <c r="D1300" s="243" t="s">
        <v>116</v>
      </c>
      <c r="E1300" s="244">
        <v>500</v>
      </c>
      <c r="F1300" s="317">
        <f t="shared" si="7"/>
        <v>0.92979283099973931</v>
      </c>
      <c r="G1300" s="344">
        <v>537.75419999999997</v>
      </c>
      <c r="H1300" s="256" t="s">
        <v>196</v>
      </c>
      <c r="I1300" s="181" t="s">
        <v>2218</v>
      </c>
      <c r="J1300" s="127" t="s">
        <v>97</v>
      </c>
      <c r="K1300" s="127" t="s">
        <v>2311</v>
      </c>
      <c r="L1300" s="145" t="s">
        <v>154</v>
      </c>
      <c r="M1300" s="127"/>
      <c r="N1300" s="127"/>
      <c r="O1300" s="127"/>
    </row>
    <row r="1301" spans="1:15" ht="15.6" hidden="1">
      <c r="A1301" s="334">
        <v>45862</v>
      </c>
      <c r="B1301" s="181" t="s">
        <v>2212</v>
      </c>
      <c r="C1301" s="243" t="s">
        <v>195</v>
      </c>
      <c r="D1301" s="243" t="s">
        <v>116</v>
      </c>
      <c r="E1301" s="244">
        <v>500</v>
      </c>
      <c r="F1301" s="317">
        <f t="shared" si="7"/>
        <v>0.92979283099973931</v>
      </c>
      <c r="G1301" s="344">
        <v>537.75419999999997</v>
      </c>
      <c r="H1301" s="256" t="s">
        <v>196</v>
      </c>
      <c r="I1301" s="181" t="s">
        <v>2218</v>
      </c>
      <c r="J1301" s="127" t="s">
        <v>97</v>
      </c>
      <c r="K1301" s="127" t="s">
        <v>2311</v>
      </c>
      <c r="L1301" s="145" t="s">
        <v>154</v>
      </c>
      <c r="M1301" s="127"/>
      <c r="N1301" s="127"/>
      <c r="O1301" s="127"/>
    </row>
    <row r="1302" spans="1:15" ht="15.6" hidden="1">
      <c r="A1302" s="334">
        <v>45862</v>
      </c>
      <c r="B1302" s="181" t="s">
        <v>477</v>
      </c>
      <c r="C1302" s="243" t="s">
        <v>195</v>
      </c>
      <c r="D1302" s="243" t="s">
        <v>116</v>
      </c>
      <c r="E1302" s="244">
        <v>7000</v>
      </c>
      <c r="F1302" s="317">
        <f t="shared" si="7"/>
        <v>13.017099633996351</v>
      </c>
      <c r="G1302" s="344">
        <v>537.75419999999997</v>
      </c>
      <c r="H1302" s="256" t="s">
        <v>196</v>
      </c>
      <c r="I1302" s="181" t="s">
        <v>2221</v>
      </c>
      <c r="J1302" s="127" t="s">
        <v>97</v>
      </c>
      <c r="K1302" s="127" t="s">
        <v>2311</v>
      </c>
      <c r="L1302" s="145" t="s">
        <v>154</v>
      </c>
      <c r="M1302" s="127"/>
      <c r="N1302" s="127"/>
      <c r="O1302" s="127"/>
    </row>
    <row r="1303" spans="1:15" ht="15.6" hidden="1">
      <c r="A1303" s="334">
        <v>45863</v>
      </c>
      <c r="B1303" s="302" t="s">
        <v>2100</v>
      </c>
      <c r="C1303" s="303" t="s">
        <v>173</v>
      </c>
      <c r="D1303" s="304" t="s">
        <v>118</v>
      </c>
      <c r="E1303" s="302">
        <v>1000</v>
      </c>
      <c r="F1303" s="317">
        <f t="shared" si="7"/>
        <v>1.8595856619994786</v>
      </c>
      <c r="G1303" s="344">
        <v>537.75419999999997</v>
      </c>
      <c r="H1303" s="306" t="s">
        <v>152</v>
      </c>
      <c r="I1303" s="307" t="s">
        <v>2116</v>
      </c>
      <c r="J1303" s="127" t="s">
        <v>97</v>
      </c>
      <c r="K1303" s="127" t="s">
        <v>2311</v>
      </c>
      <c r="L1303" s="145" t="s">
        <v>154</v>
      </c>
      <c r="M1303" s="127"/>
      <c r="N1303" s="127"/>
      <c r="O1303" s="127"/>
    </row>
    <row r="1304" spans="1:15" ht="15.6" hidden="1">
      <c r="A1304" s="334">
        <v>45863</v>
      </c>
      <c r="B1304" s="302" t="s">
        <v>2101</v>
      </c>
      <c r="C1304" s="303" t="s">
        <v>173</v>
      </c>
      <c r="D1304" s="304" t="s">
        <v>118</v>
      </c>
      <c r="E1304" s="302">
        <v>1000</v>
      </c>
      <c r="F1304" s="317">
        <f t="shared" si="7"/>
        <v>1.8595856619994786</v>
      </c>
      <c r="G1304" s="344">
        <v>537.75419999999997</v>
      </c>
      <c r="H1304" s="306" t="s">
        <v>152</v>
      </c>
      <c r="I1304" s="307" t="s">
        <v>2116</v>
      </c>
      <c r="J1304" s="127" t="s">
        <v>97</v>
      </c>
      <c r="K1304" s="127" t="s">
        <v>2311</v>
      </c>
      <c r="L1304" s="145" t="s">
        <v>154</v>
      </c>
      <c r="M1304" s="127"/>
      <c r="N1304" s="127"/>
      <c r="O1304" s="127"/>
    </row>
    <row r="1305" spans="1:15" ht="15.6" hidden="1">
      <c r="A1305" s="334">
        <v>45863</v>
      </c>
      <c r="B1305" s="337" t="s">
        <v>2125</v>
      </c>
      <c r="C1305" s="338" t="s">
        <v>173</v>
      </c>
      <c r="D1305" s="337" t="s">
        <v>116</v>
      </c>
      <c r="E1305" s="338">
        <v>1000</v>
      </c>
      <c r="F1305" s="317">
        <f t="shared" si="7"/>
        <v>1.8595856619994786</v>
      </c>
      <c r="G1305" s="344">
        <v>537.75419999999997</v>
      </c>
      <c r="H1305" s="339" t="s">
        <v>199</v>
      </c>
      <c r="I1305" s="311" t="s">
        <v>2127</v>
      </c>
      <c r="J1305" s="127" t="s">
        <v>97</v>
      </c>
      <c r="K1305" s="127" t="s">
        <v>2311</v>
      </c>
      <c r="L1305" s="145" t="s">
        <v>154</v>
      </c>
      <c r="M1305" s="127"/>
      <c r="N1305" s="127"/>
      <c r="O1305" s="127"/>
    </row>
    <row r="1306" spans="1:15" ht="15.6" hidden="1">
      <c r="A1306" s="334">
        <v>45863</v>
      </c>
      <c r="B1306" s="337" t="s">
        <v>2126</v>
      </c>
      <c r="C1306" s="338" t="s">
        <v>173</v>
      </c>
      <c r="D1306" s="337" t="s">
        <v>116</v>
      </c>
      <c r="E1306" s="338">
        <v>1000</v>
      </c>
      <c r="F1306" s="317">
        <f t="shared" si="7"/>
        <v>1.8595856619994786</v>
      </c>
      <c r="G1306" s="344">
        <v>537.75419999999997</v>
      </c>
      <c r="H1306" s="339" t="s">
        <v>199</v>
      </c>
      <c r="I1306" s="311" t="s">
        <v>2127</v>
      </c>
      <c r="J1306" s="127" t="s">
        <v>97</v>
      </c>
      <c r="K1306" s="127" t="s">
        <v>2311</v>
      </c>
      <c r="L1306" s="145" t="s">
        <v>154</v>
      </c>
      <c r="M1306" s="127"/>
      <c r="N1306" s="127"/>
      <c r="O1306" s="127"/>
    </row>
    <row r="1307" spans="1:15" ht="15.6" hidden="1">
      <c r="A1307" s="334">
        <v>45863</v>
      </c>
      <c r="B1307" s="335" t="s">
        <v>2149</v>
      </c>
      <c r="C1307" s="335" t="s">
        <v>173</v>
      </c>
      <c r="D1307" s="335" t="s">
        <v>117</v>
      </c>
      <c r="E1307" s="324">
        <v>1000</v>
      </c>
      <c r="F1307" s="317">
        <f t="shared" si="7"/>
        <v>1.8595856619994786</v>
      </c>
      <c r="G1307" s="344">
        <v>537.75419999999997</v>
      </c>
      <c r="H1307" s="335" t="s">
        <v>583</v>
      </c>
      <c r="I1307" s="127" t="s">
        <v>2165</v>
      </c>
      <c r="J1307" s="127" t="s">
        <v>97</v>
      </c>
      <c r="K1307" s="127" t="s">
        <v>2311</v>
      </c>
      <c r="L1307" s="145" t="s">
        <v>154</v>
      </c>
      <c r="M1307" s="127"/>
      <c r="N1307" s="127"/>
      <c r="O1307" s="127"/>
    </row>
    <row r="1308" spans="1:15" ht="15.6" hidden="1">
      <c r="A1308" s="334">
        <v>45863</v>
      </c>
      <c r="B1308" s="335" t="s">
        <v>2150</v>
      </c>
      <c r="C1308" s="335" t="s">
        <v>173</v>
      </c>
      <c r="D1308" s="335" t="s">
        <v>117</v>
      </c>
      <c r="E1308" s="324">
        <v>1000</v>
      </c>
      <c r="F1308" s="317">
        <f t="shared" si="7"/>
        <v>1.8595856619994786</v>
      </c>
      <c r="G1308" s="344">
        <v>537.75419999999997</v>
      </c>
      <c r="H1308" s="335" t="s">
        <v>583</v>
      </c>
      <c r="I1308" s="127" t="s">
        <v>2165</v>
      </c>
      <c r="J1308" s="127" t="s">
        <v>97</v>
      </c>
      <c r="K1308" s="127" t="s">
        <v>2311</v>
      </c>
      <c r="L1308" s="145" t="s">
        <v>154</v>
      </c>
      <c r="M1308" s="127"/>
      <c r="N1308" s="127"/>
      <c r="O1308" s="127"/>
    </row>
    <row r="1309" spans="1:15" ht="15.6" hidden="1">
      <c r="A1309" s="334">
        <v>45863</v>
      </c>
      <c r="B1309" s="335" t="s">
        <v>2151</v>
      </c>
      <c r="C1309" s="335" t="s">
        <v>173</v>
      </c>
      <c r="D1309" s="335" t="s">
        <v>117</v>
      </c>
      <c r="E1309" s="324">
        <v>1000</v>
      </c>
      <c r="F1309" s="317">
        <f t="shared" si="7"/>
        <v>1.8595856619994786</v>
      </c>
      <c r="G1309" s="344">
        <v>537.75419999999997</v>
      </c>
      <c r="H1309" s="335" t="s">
        <v>583</v>
      </c>
      <c r="I1309" s="127" t="s">
        <v>2165</v>
      </c>
      <c r="J1309" s="127" t="s">
        <v>97</v>
      </c>
      <c r="K1309" s="127" t="s">
        <v>2311</v>
      </c>
      <c r="L1309" s="145" t="s">
        <v>154</v>
      </c>
      <c r="M1309" s="127"/>
      <c r="N1309" s="127"/>
      <c r="O1309" s="127"/>
    </row>
    <row r="1310" spans="1:15" ht="15.6" hidden="1">
      <c r="A1310" s="334">
        <v>45863</v>
      </c>
      <c r="B1310" s="335" t="s">
        <v>2152</v>
      </c>
      <c r="C1310" s="335" t="s">
        <v>173</v>
      </c>
      <c r="D1310" s="335" t="s">
        <v>117</v>
      </c>
      <c r="E1310" s="324">
        <v>1000</v>
      </c>
      <c r="F1310" s="317">
        <f t="shared" si="7"/>
        <v>1.8595856619994786</v>
      </c>
      <c r="G1310" s="344">
        <v>537.75419999999997</v>
      </c>
      <c r="H1310" s="335" t="s">
        <v>583</v>
      </c>
      <c r="I1310" s="127" t="s">
        <v>2165</v>
      </c>
      <c r="J1310" s="127" t="s">
        <v>97</v>
      </c>
      <c r="K1310" s="127" t="s">
        <v>2311</v>
      </c>
      <c r="L1310" s="145" t="s">
        <v>154</v>
      </c>
      <c r="M1310" s="127"/>
      <c r="N1310" s="127"/>
      <c r="O1310" s="127"/>
    </row>
    <row r="1311" spans="1:15" ht="15.6" hidden="1">
      <c r="A1311" s="334">
        <v>45863</v>
      </c>
      <c r="B1311" s="335" t="s">
        <v>2153</v>
      </c>
      <c r="C1311" s="335" t="s">
        <v>173</v>
      </c>
      <c r="D1311" s="335" t="s">
        <v>117</v>
      </c>
      <c r="E1311" s="324">
        <v>1000</v>
      </c>
      <c r="F1311" s="317">
        <f t="shared" si="7"/>
        <v>1.8595856619994786</v>
      </c>
      <c r="G1311" s="344">
        <v>537.75419999999997</v>
      </c>
      <c r="H1311" s="335" t="s">
        <v>583</v>
      </c>
      <c r="I1311" s="127" t="s">
        <v>2165</v>
      </c>
      <c r="J1311" s="127" t="s">
        <v>97</v>
      </c>
      <c r="K1311" s="127" t="s">
        <v>2311</v>
      </c>
      <c r="L1311" s="145" t="s">
        <v>154</v>
      </c>
      <c r="M1311" s="127"/>
      <c r="N1311" s="127"/>
      <c r="O1311" s="127"/>
    </row>
    <row r="1312" spans="1:15" ht="15.6" hidden="1">
      <c r="A1312" s="334">
        <v>45863</v>
      </c>
      <c r="B1312" s="335" t="s">
        <v>2154</v>
      </c>
      <c r="C1312" s="335" t="s">
        <v>173</v>
      </c>
      <c r="D1312" s="335" t="s">
        <v>117</v>
      </c>
      <c r="E1312" s="324">
        <v>1000</v>
      </c>
      <c r="F1312" s="317">
        <f t="shared" si="7"/>
        <v>1.8595856619994786</v>
      </c>
      <c r="G1312" s="344">
        <v>537.75419999999997</v>
      </c>
      <c r="H1312" s="335" t="s">
        <v>583</v>
      </c>
      <c r="I1312" s="127" t="s">
        <v>2165</v>
      </c>
      <c r="J1312" s="127" t="s">
        <v>97</v>
      </c>
      <c r="K1312" s="127" t="s">
        <v>2311</v>
      </c>
      <c r="L1312" s="145" t="s">
        <v>154</v>
      </c>
      <c r="M1312" s="127"/>
      <c r="N1312" s="127"/>
      <c r="O1312" s="127"/>
    </row>
    <row r="1313" spans="1:15" ht="15.6" hidden="1">
      <c r="A1313" s="334">
        <v>45863</v>
      </c>
      <c r="B1313" s="335" t="s">
        <v>2155</v>
      </c>
      <c r="C1313" s="335" t="s">
        <v>173</v>
      </c>
      <c r="D1313" s="335" t="s">
        <v>117</v>
      </c>
      <c r="E1313" s="324">
        <v>1000</v>
      </c>
      <c r="F1313" s="317">
        <f t="shared" si="7"/>
        <v>1.8595856619994786</v>
      </c>
      <c r="G1313" s="344">
        <v>537.75419999999997</v>
      </c>
      <c r="H1313" s="335" t="s">
        <v>583</v>
      </c>
      <c r="I1313" s="127" t="s">
        <v>2165</v>
      </c>
      <c r="J1313" s="127" t="s">
        <v>97</v>
      </c>
      <c r="K1313" s="127" t="s">
        <v>2311</v>
      </c>
      <c r="L1313" s="145" t="s">
        <v>154</v>
      </c>
      <c r="M1313" s="127"/>
      <c r="N1313" s="127"/>
      <c r="O1313" s="127"/>
    </row>
    <row r="1314" spans="1:15" ht="15.6" hidden="1">
      <c r="A1314" s="334">
        <v>45863</v>
      </c>
      <c r="B1314" s="335" t="s">
        <v>2326</v>
      </c>
      <c r="C1314" s="335" t="s">
        <v>125</v>
      </c>
      <c r="D1314" s="335" t="s">
        <v>117</v>
      </c>
      <c r="E1314" s="324">
        <v>71274</v>
      </c>
      <c r="F1314" s="317">
        <f t="shared" si="7"/>
        <v>132.54010847335084</v>
      </c>
      <c r="G1314" s="344">
        <v>537.75419999999997</v>
      </c>
      <c r="H1314" s="335" t="s">
        <v>583</v>
      </c>
      <c r="I1314" s="127" t="s">
        <v>2170</v>
      </c>
      <c r="J1314" s="127" t="s">
        <v>97</v>
      </c>
      <c r="K1314" s="127" t="s">
        <v>2311</v>
      </c>
      <c r="L1314" s="145" t="s">
        <v>154</v>
      </c>
      <c r="M1314" s="127"/>
      <c r="N1314" s="127"/>
      <c r="O1314" s="127"/>
    </row>
    <row r="1315" spans="1:15" ht="15.6" hidden="1">
      <c r="A1315" s="334">
        <v>45863</v>
      </c>
      <c r="B1315" s="247" t="s">
        <v>2213</v>
      </c>
      <c r="C1315" s="247" t="s">
        <v>176</v>
      </c>
      <c r="D1315" s="247" t="s">
        <v>116</v>
      </c>
      <c r="E1315" s="244">
        <v>30000</v>
      </c>
      <c r="F1315" s="317">
        <f t="shared" si="7"/>
        <v>55.787569859984359</v>
      </c>
      <c r="G1315" s="344">
        <v>537.75419999999997</v>
      </c>
      <c r="H1315" s="256" t="s">
        <v>196</v>
      </c>
      <c r="I1315" s="181" t="s">
        <v>2222</v>
      </c>
      <c r="J1315" s="127" t="s">
        <v>97</v>
      </c>
      <c r="K1315" s="127" t="s">
        <v>2311</v>
      </c>
      <c r="L1315" s="145" t="s">
        <v>154</v>
      </c>
      <c r="M1315" s="127"/>
      <c r="N1315" s="127"/>
      <c r="O1315" s="127"/>
    </row>
    <row r="1316" spans="1:15" ht="15.6" hidden="1">
      <c r="A1316" s="334">
        <v>45863</v>
      </c>
      <c r="B1316" s="181" t="s">
        <v>2214</v>
      </c>
      <c r="C1316" s="243" t="s">
        <v>195</v>
      </c>
      <c r="D1316" s="243" t="s">
        <v>116</v>
      </c>
      <c r="E1316" s="244">
        <v>500</v>
      </c>
      <c r="F1316" s="317">
        <f t="shared" ref="F1316:F1347" si="8">E1316/G1316</f>
        <v>0.92979283099973931</v>
      </c>
      <c r="G1316" s="344">
        <v>537.75419999999997</v>
      </c>
      <c r="H1316" s="256" t="s">
        <v>196</v>
      </c>
      <c r="I1316" s="181" t="s">
        <v>2218</v>
      </c>
      <c r="J1316" s="127" t="s">
        <v>97</v>
      </c>
      <c r="K1316" s="127" t="s">
        <v>2311</v>
      </c>
      <c r="L1316" s="145" t="s">
        <v>154</v>
      </c>
      <c r="M1316" s="127"/>
      <c r="N1316" s="127"/>
      <c r="O1316" s="127"/>
    </row>
    <row r="1317" spans="1:15" ht="15.6" hidden="1">
      <c r="A1317" s="334">
        <v>45863</v>
      </c>
      <c r="B1317" s="181" t="s">
        <v>2206</v>
      </c>
      <c r="C1317" s="243" t="s">
        <v>195</v>
      </c>
      <c r="D1317" s="243" t="s">
        <v>116</v>
      </c>
      <c r="E1317" s="244">
        <v>1000</v>
      </c>
      <c r="F1317" s="317">
        <f t="shared" si="8"/>
        <v>1.8595856619994786</v>
      </c>
      <c r="G1317" s="344">
        <v>537.75419999999997</v>
      </c>
      <c r="H1317" s="256" t="s">
        <v>196</v>
      </c>
      <c r="I1317" s="181" t="s">
        <v>2218</v>
      </c>
      <c r="J1317" s="127" t="s">
        <v>97</v>
      </c>
      <c r="K1317" s="127" t="s">
        <v>2311</v>
      </c>
      <c r="L1317" s="145" t="s">
        <v>154</v>
      </c>
      <c r="M1317" s="127"/>
      <c r="N1317" s="127"/>
      <c r="O1317" s="127"/>
    </row>
    <row r="1318" spans="1:15" ht="15.6" hidden="1">
      <c r="A1318" s="334">
        <v>45863</v>
      </c>
      <c r="B1318" s="328" t="s">
        <v>2288</v>
      </c>
      <c r="C1318" s="179" t="s">
        <v>126</v>
      </c>
      <c r="D1318" s="179" t="s">
        <v>117</v>
      </c>
      <c r="E1318" s="332">
        <v>230000</v>
      </c>
      <c r="F1318" s="317">
        <f t="shared" si="8"/>
        <v>427.70470225988009</v>
      </c>
      <c r="G1318" s="344">
        <v>537.75419999999997</v>
      </c>
      <c r="H1318" s="335" t="s">
        <v>147</v>
      </c>
      <c r="I1318" s="127" t="s">
        <v>2289</v>
      </c>
      <c r="J1318" s="127" t="s">
        <v>97</v>
      </c>
      <c r="K1318" s="127" t="s">
        <v>2311</v>
      </c>
      <c r="L1318" s="145" t="s">
        <v>154</v>
      </c>
      <c r="M1318" s="127"/>
      <c r="N1318" s="127"/>
      <c r="O1318" s="127"/>
    </row>
    <row r="1319" spans="1:15" ht="15.6" hidden="1">
      <c r="A1319" s="334">
        <v>45863</v>
      </c>
      <c r="B1319" s="328" t="s">
        <v>2290</v>
      </c>
      <c r="C1319" s="179" t="s">
        <v>126</v>
      </c>
      <c r="D1319" s="342" t="s">
        <v>116</v>
      </c>
      <c r="E1319" s="332">
        <v>200000</v>
      </c>
      <c r="F1319" s="317">
        <f t="shared" si="8"/>
        <v>371.91713239989576</v>
      </c>
      <c r="G1319" s="344">
        <v>537.75419999999997</v>
      </c>
      <c r="H1319" s="335" t="s">
        <v>147</v>
      </c>
      <c r="I1319" s="127" t="s">
        <v>2291</v>
      </c>
      <c r="J1319" s="127" t="s">
        <v>97</v>
      </c>
      <c r="K1319" s="127" t="s">
        <v>2311</v>
      </c>
      <c r="L1319" s="145" t="s">
        <v>154</v>
      </c>
      <c r="M1319" s="127"/>
      <c r="N1319" s="127"/>
      <c r="O1319" s="127"/>
    </row>
    <row r="1320" spans="1:15" ht="15.6" hidden="1">
      <c r="A1320" s="334">
        <v>45863</v>
      </c>
      <c r="B1320" s="328" t="s">
        <v>2292</v>
      </c>
      <c r="C1320" s="336" t="s">
        <v>126</v>
      </c>
      <c r="D1320" s="341" t="s">
        <v>116</v>
      </c>
      <c r="E1320" s="332">
        <v>200000</v>
      </c>
      <c r="F1320" s="317">
        <f t="shared" si="8"/>
        <v>371.91713239989576</v>
      </c>
      <c r="G1320" s="344">
        <v>537.75419999999997</v>
      </c>
      <c r="H1320" s="335" t="s">
        <v>147</v>
      </c>
      <c r="I1320" s="127" t="s">
        <v>2293</v>
      </c>
      <c r="J1320" s="127" t="s">
        <v>97</v>
      </c>
      <c r="K1320" s="127" t="s">
        <v>2311</v>
      </c>
      <c r="L1320" s="145" t="s">
        <v>154</v>
      </c>
      <c r="M1320" s="127"/>
      <c r="N1320" s="127"/>
      <c r="O1320" s="127"/>
    </row>
    <row r="1321" spans="1:15" ht="15.6" hidden="1">
      <c r="A1321" s="334">
        <v>45863</v>
      </c>
      <c r="B1321" s="328" t="s">
        <v>2294</v>
      </c>
      <c r="C1321" s="336" t="s">
        <v>126</v>
      </c>
      <c r="D1321" s="341" t="s">
        <v>116</v>
      </c>
      <c r="E1321" s="332">
        <v>1037411</v>
      </c>
      <c r="F1321" s="317">
        <f t="shared" si="8"/>
        <v>1929.1546212005412</v>
      </c>
      <c r="G1321" s="344">
        <v>537.75419999999997</v>
      </c>
      <c r="H1321" s="335" t="s">
        <v>147</v>
      </c>
      <c r="I1321" s="127" t="s">
        <v>2295</v>
      </c>
      <c r="J1321" s="127" t="s">
        <v>97</v>
      </c>
      <c r="K1321" s="127" t="s">
        <v>2311</v>
      </c>
      <c r="L1321" s="145" t="s">
        <v>154</v>
      </c>
      <c r="M1321" s="127"/>
      <c r="N1321" s="127"/>
      <c r="O1321" s="127"/>
    </row>
    <row r="1322" spans="1:15" ht="15.6" hidden="1">
      <c r="A1322" s="334">
        <v>45863</v>
      </c>
      <c r="B1322" s="328" t="s">
        <v>2296</v>
      </c>
      <c r="C1322" s="179" t="s">
        <v>126</v>
      </c>
      <c r="D1322" s="336" t="s">
        <v>116</v>
      </c>
      <c r="E1322" s="332">
        <v>300000</v>
      </c>
      <c r="F1322" s="317">
        <f t="shared" si="8"/>
        <v>557.87569859984364</v>
      </c>
      <c r="G1322" s="344">
        <v>537.75419999999997</v>
      </c>
      <c r="H1322" s="335" t="s">
        <v>147</v>
      </c>
      <c r="I1322" s="127" t="s">
        <v>2297</v>
      </c>
      <c r="J1322" s="127" t="s">
        <v>97</v>
      </c>
      <c r="K1322" s="127" t="s">
        <v>2311</v>
      </c>
      <c r="L1322" s="145" t="s">
        <v>154</v>
      </c>
      <c r="M1322" s="127"/>
      <c r="N1322" s="127"/>
      <c r="O1322" s="127"/>
    </row>
    <row r="1323" spans="1:15" ht="15.6" hidden="1">
      <c r="A1323" s="334">
        <v>45863</v>
      </c>
      <c r="B1323" s="328" t="s">
        <v>2298</v>
      </c>
      <c r="C1323" s="179" t="s">
        <v>126</v>
      </c>
      <c r="D1323" s="336" t="s">
        <v>119</v>
      </c>
      <c r="E1323" s="332">
        <v>238140</v>
      </c>
      <c r="F1323" s="317">
        <f t="shared" si="8"/>
        <v>442.84172954855586</v>
      </c>
      <c r="G1323" s="344">
        <v>537.75419999999997</v>
      </c>
      <c r="H1323" s="335" t="s">
        <v>147</v>
      </c>
      <c r="I1323" s="127" t="s">
        <v>2299</v>
      </c>
      <c r="J1323" s="127" t="s">
        <v>97</v>
      </c>
      <c r="K1323" s="127" t="s">
        <v>2311</v>
      </c>
      <c r="L1323" s="145" t="s">
        <v>154</v>
      </c>
      <c r="M1323" s="127"/>
      <c r="N1323" s="127"/>
      <c r="O1323" s="127"/>
    </row>
    <row r="1324" spans="1:15" ht="15.6" hidden="1">
      <c r="A1324" s="334">
        <v>45863</v>
      </c>
      <c r="B1324" s="328" t="s">
        <v>2300</v>
      </c>
      <c r="C1324" s="179" t="s">
        <v>126</v>
      </c>
      <c r="D1324" s="179" t="s">
        <v>116</v>
      </c>
      <c r="E1324" s="332">
        <v>70968</v>
      </c>
      <c r="F1324" s="317">
        <f t="shared" si="8"/>
        <v>131.971075260779</v>
      </c>
      <c r="G1324" s="344">
        <v>537.75419999999997</v>
      </c>
      <c r="H1324" s="335" t="s">
        <v>147</v>
      </c>
      <c r="I1324" s="127" t="s">
        <v>2301</v>
      </c>
      <c r="J1324" s="127" t="s">
        <v>97</v>
      </c>
      <c r="K1324" s="127" t="s">
        <v>2311</v>
      </c>
      <c r="L1324" s="145" t="s">
        <v>154</v>
      </c>
      <c r="M1324" s="127"/>
      <c r="N1324" s="127"/>
      <c r="O1324" s="127"/>
    </row>
    <row r="1325" spans="1:15" ht="15.6" hidden="1">
      <c r="A1325" s="334">
        <v>45863</v>
      </c>
      <c r="B1325" s="328" t="s">
        <v>2270</v>
      </c>
      <c r="C1325" s="336" t="s">
        <v>127</v>
      </c>
      <c r="D1325" s="341" t="s">
        <v>117</v>
      </c>
      <c r="E1325" s="332">
        <v>10665</v>
      </c>
      <c r="F1325" s="317">
        <f t="shared" si="8"/>
        <v>19.83248108522444</v>
      </c>
      <c r="G1325" s="344">
        <v>537.75419999999997</v>
      </c>
      <c r="H1325" s="335" t="s">
        <v>147</v>
      </c>
      <c r="I1325" s="127" t="s">
        <v>2303</v>
      </c>
      <c r="J1325" s="127" t="s">
        <v>97</v>
      </c>
      <c r="K1325" s="127" t="s">
        <v>2311</v>
      </c>
      <c r="L1325" s="145" t="s">
        <v>154</v>
      </c>
      <c r="M1325" s="127"/>
      <c r="N1325" s="127"/>
      <c r="O1325" s="127"/>
    </row>
    <row r="1326" spans="1:15" ht="15.6" hidden="1">
      <c r="A1326" s="334">
        <v>45866</v>
      </c>
      <c r="B1326" s="302" t="s">
        <v>2100</v>
      </c>
      <c r="C1326" s="303" t="s">
        <v>173</v>
      </c>
      <c r="D1326" s="304" t="s">
        <v>118</v>
      </c>
      <c r="E1326" s="302">
        <v>1000</v>
      </c>
      <c r="F1326" s="317">
        <f t="shared" si="8"/>
        <v>1.8595856619994786</v>
      </c>
      <c r="G1326" s="344">
        <v>537.75419999999997</v>
      </c>
      <c r="H1326" s="306" t="s">
        <v>152</v>
      </c>
      <c r="I1326" s="307" t="s">
        <v>2116</v>
      </c>
      <c r="J1326" s="127" t="s">
        <v>97</v>
      </c>
      <c r="K1326" s="127" t="s">
        <v>2311</v>
      </c>
      <c r="L1326" s="145" t="s">
        <v>154</v>
      </c>
      <c r="M1326" s="127"/>
      <c r="N1326" s="127"/>
      <c r="O1326" s="127"/>
    </row>
    <row r="1327" spans="1:15" ht="15.6" hidden="1">
      <c r="A1327" s="334">
        <v>45866</v>
      </c>
      <c r="B1327" s="302" t="s">
        <v>2114</v>
      </c>
      <c r="C1327" s="303" t="s">
        <v>173</v>
      </c>
      <c r="D1327" s="304" t="s">
        <v>118</v>
      </c>
      <c r="E1327" s="302">
        <v>1000</v>
      </c>
      <c r="F1327" s="317">
        <f t="shared" si="8"/>
        <v>1.8595856619994786</v>
      </c>
      <c r="G1327" s="344">
        <v>537.75419999999997</v>
      </c>
      <c r="H1327" s="306" t="s">
        <v>152</v>
      </c>
      <c r="I1327" s="307" t="s">
        <v>2116</v>
      </c>
      <c r="J1327" s="127" t="s">
        <v>97</v>
      </c>
      <c r="K1327" s="127" t="s">
        <v>2311</v>
      </c>
      <c r="L1327" s="145" t="s">
        <v>154</v>
      </c>
      <c r="M1327" s="127"/>
      <c r="N1327" s="127"/>
      <c r="O1327" s="127"/>
    </row>
    <row r="1328" spans="1:15" ht="15.6" hidden="1">
      <c r="A1328" s="334">
        <v>45866</v>
      </c>
      <c r="B1328" s="302" t="s">
        <v>2115</v>
      </c>
      <c r="C1328" s="303" t="s">
        <v>173</v>
      </c>
      <c r="D1328" s="304" t="s">
        <v>118</v>
      </c>
      <c r="E1328" s="302">
        <v>1000</v>
      </c>
      <c r="F1328" s="317">
        <f t="shared" si="8"/>
        <v>1.8595856619994786</v>
      </c>
      <c r="G1328" s="344">
        <v>537.75419999999997</v>
      </c>
      <c r="H1328" s="306" t="s">
        <v>152</v>
      </c>
      <c r="I1328" s="307" t="s">
        <v>2116</v>
      </c>
      <c r="J1328" s="127" t="s">
        <v>97</v>
      </c>
      <c r="K1328" s="127" t="s">
        <v>2311</v>
      </c>
      <c r="L1328" s="145" t="s">
        <v>154</v>
      </c>
      <c r="M1328" s="145"/>
      <c r="N1328" s="145"/>
      <c r="O1328" s="127"/>
    </row>
    <row r="1329" spans="1:15" ht="15.6" hidden="1">
      <c r="A1329" s="334">
        <v>45866</v>
      </c>
      <c r="B1329" s="302" t="s">
        <v>2101</v>
      </c>
      <c r="C1329" s="303" t="s">
        <v>173</v>
      </c>
      <c r="D1329" s="304" t="s">
        <v>118</v>
      </c>
      <c r="E1329" s="302">
        <v>1000</v>
      </c>
      <c r="F1329" s="317">
        <f t="shared" si="8"/>
        <v>1.8595856619994786</v>
      </c>
      <c r="G1329" s="344">
        <v>537.75419999999997</v>
      </c>
      <c r="H1329" s="306" t="s">
        <v>152</v>
      </c>
      <c r="I1329" s="307" t="s">
        <v>2116</v>
      </c>
      <c r="J1329" s="127" t="s">
        <v>97</v>
      </c>
      <c r="K1329" s="127" t="s">
        <v>2311</v>
      </c>
      <c r="L1329" s="145" t="s">
        <v>154</v>
      </c>
      <c r="M1329" s="127"/>
      <c r="N1329" s="127"/>
      <c r="O1329" s="127"/>
    </row>
    <row r="1330" spans="1:15" ht="15.6" hidden="1">
      <c r="A1330" s="334">
        <v>45866</v>
      </c>
      <c r="B1330" s="335" t="s">
        <v>2328</v>
      </c>
      <c r="C1330" s="335" t="s">
        <v>1949</v>
      </c>
      <c r="D1330" s="335" t="s">
        <v>117</v>
      </c>
      <c r="E1330" s="324">
        <v>6000</v>
      </c>
      <c r="F1330" s="317">
        <f t="shared" si="8"/>
        <v>11.157513971996872</v>
      </c>
      <c r="G1330" s="344">
        <v>537.75419999999997</v>
      </c>
      <c r="H1330" s="348" t="s">
        <v>583</v>
      </c>
      <c r="I1330" s="127" t="s">
        <v>2171</v>
      </c>
      <c r="J1330" s="127" t="s">
        <v>97</v>
      </c>
      <c r="K1330" s="127" t="s">
        <v>2311</v>
      </c>
      <c r="L1330" s="145" t="s">
        <v>154</v>
      </c>
      <c r="M1330" s="127"/>
      <c r="N1330" s="127"/>
      <c r="O1330" s="127"/>
    </row>
    <row r="1331" spans="1:15" ht="15.6" hidden="1">
      <c r="A1331" s="334">
        <v>45866</v>
      </c>
      <c r="B1331" s="335" t="s">
        <v>2327</v>
      </c>
      <c r="C1331" s="335" t="s">
        <v>303</v>
      </c>
      <c r="D1331" s="335" t="s">
        <v>117</v>
      </c>
      <c r="E1331" s="324">
        <v>20000</v>
      </c>
      <c r="F1331" s="317">
        <f t="shared" si="8"/>
        <v>37.191713239989575</v>
      </c>
      <c r="G1331" s="344">
        <v>537.75419999999997</v>
      </c>
      <c r="H1331" s="335" t="s">
        <v>583</v>
      </c>
      <c r="I1331" s="127" t="s">
        <v>2172</v>
      </c>
      <c r="J1331" s="127" t="s">
        <v>97</v>
      </c>
      <c r="K1331" s="127" t="s">
        <v>2311</v>
      </c>
      <c r="L1331" s="145" t="s">
        <v>154</v>
      </c>
      <c r="M1331" s="127"/>
      <c r="N1331" s="127"/>
      <c r="O1331" s="127"/>
    </row>
    <row r="1332" spans="1:15" ht="15.6" hidden="1">
      <c r="A1332" s="334">
        <v>45866</v>
      </c>
      <c r="B1332" s="335" t="s">
        <v>2156</v>
      </c>
      <c r="C1332" s="335" t="s">
        <v>303</v>
      </c>
      <c r="D1332" s="335" t="s">
        <v>117</v>
      </c>
      <c r="E1332" s="324">
        <v>75625</v>
      </c>
      <c r="F1332" s="317">
        <f t="shared" si="8"/>
        <v>140.63116568871058</v>
      </c>
      <c r="G1332" s="344">
        <v>537.75419999999997</v>
      </c>
      <c r="H1332" s="335" t="s">
        <v>583</v>
      </c>
      <c r="I1332" s="127" t="s">
        <v>2173</v>
      </c>
      <c r="J1332" s="127" t="s">
        <v>97</v>
      </c>
      <c r="K1332" s="127" t="s">
        <v>2311</v>
      </c>
      <c r="L1332" s="145" t="s">
        <v>154</v>
      </c>
      <c r="M1332" s="127"/>
      <c r="N1332" s="127"/>
      <c r="O1332" s="127"/>
    </row>
    <row r="1333" spans="1:15" ht="15.6" hidden="1">
      <c r="A1333" s="334">
        <v>45866</v>
      </c>
      <c r="B1333" s="335" t="s">
        <v>2329</v>
      </c>
      <c r="C1333" s="335" t="s">
        <v>171</v>
      </c>
      <c r="D1333" s="335" t="s">
        <v>117</v>
      </c>
      <c r="E1333" s="324">
        <v>12500</v>
      </c>
      <c r="F1333" s="317">
        <f t="shared" si="8"/>
        <v>23.244820774993485</v>
      </c>
      <c r="G1333" s="344">
        <v>537.75419999999997</v>
      </c>
      <c r="H1333" s="335" t="s">
        <v>583</v>
      </c>
      <c r="I1333" s="127" t="s">
        <v>2174</v>
      </c>
      <c r="J1333" s="127" t="s">
        <v>97</v>
      </c>
      <c r="K1333" s="127" t="s">
        <v>2311</v>
      </c>
      <c r="L1333" s="145" t="s">
        <v>154</v>
      </c>
      <c r="M1333" s="127"/>
      <c r="N1333" s="127"/>
      <c r="O1333" s="127"/>
    </row>
    <row r="1334" spans="1:15" ht="15.6" hidden="1">
      <c r="A1334" s="334">
        <v>45866</v>
      </c>
      <c r="B1334" s="181" t="s">
        <v>2215</v>
      </c>
      <c r="C1334" s="243" t="s">
        <v>195</v>
      </c>
      <c r="D1334" s="243" t="s">
        <v>116</v>
      </c>
      <c r="E1334" s="244">
        <v>1000</v>
      </c>
      <c r="F1334" s="317">
        <f t="shared" si="8"/>
        <v>1.8595856619994786</v>
      </c>
      <c r="G1334" s="344">
        <v>537.75419999999997</v>
      </c>
      <c r="H1334" s="256" t="s">
        <v>196</v>
      </c>
      <c r="I1334" s="181" t="s">
        <v>2218</v>
      </c>
      <c r="J1334" s="127" t="s">
        <v>97</v>
      </c>
      <c r="K1334" s="127" t="s">
        <v>2311</v>
      </c>
      <c r="L1334" s="145" t="s">
        <v>154</v>
      </c>
      <c r="M1334" s="127"/>
      <c r="N1334" s="127"/>
      <c r="O1334" s="127"/>
    </row>
    <row r="1335" spans="1:15" ht="15.6" hidden="1">
      <c r="A1335" s="334">
        <v>45866</v>
      </c>
      <c r="B1335" s="181" t="s">
        <v>2216</v>
      </c>
      <c r="C1335" s="243" t="s">
        <v>195</v>
      </c>
      <c r="D1335" s="243" t="s">
        <v>116</v>
      </c>
      <c r="E1335" s="244">
        <v>1000</v>
      </c>
      <c r="F1335" s="317">
        <f t="shared" si="8"/>
        <v>1.8595856619994786</v>
      </c>
      <c r="G1335" s="344">
        <v>537.75419999999997</v>
      </c>
      <c r="H1335" s="256" t="s">
        <v>196</v>
      </c>
      <c r="I1335" s="181" t="s">
        <v>2218</v>
      </c>
      <c r="J1335" s="127" t="s">
        <v>97</v>
      </c>
      <c r="K1335" s="127" t="s">
        <v>2311</v>
      </c>
      <c r="L1335" s="145" t="s">
        <v>154</v>
      </c>
      <c r="M1335" s="127"/>
      <c r="N1335" s="127"/>
      <c r="O1335" s="127"/>
    </row>
    <row r="1336" spans="1:15" ht="15.6" hidden="1">
      <c r="A1336" s="334">
        <v>45866</v>
      </c>
      <c r="B1336" s="335" t="s">
        <v>2224</v>
      </c>
      <c r="C1336" s="181" t="s">
        <v>173</v>
      </c>
      <c r="D1336" s="345" t="s">
        <v>119</v>
      </c>
      <c r="E1336" s="343">
        <v>1000</v>
      </c>
      <c r="F1336" s="317">
        <f t="shared" si="8"/>
        <v>1.8595856619994786</v>
      </c>
      <c r="G1336" s="344">
        <v>537.75419999999997</v>
      </c>
      <c r="H1336" s="335" t="s">
        <v>212</v>
      </c>
      <c r="I1336" s="127" t="s">
        <v>2234</v>
      </c>
      <c r="J1336" s="127" t="s">
        <v>97</v>
      </c>
      <c r="K1336" s="127" t="s">
        <v>2311</v>
      </c>
      <c r="L1336" s="145" t="s">
        <v>154</v>
      </c>
      <c r="M1336" s="127"/>
      <c r="N1336" s="127"/>
      <c r="O1336" s="127"/>
    </row>
    <row r="1337" spans="1:15" ht="15.6" hidden="1">
      <c r="A1337" s="334">
        <v>45866</v>
      </c>
      <c r="B1337" s="335" t="s">
        <v>2225</v>
      </c>
      <c r="C1337" s="181" t="s">
        <v>173</v>
      </c>
      <c r="D1337" s="345" t="s">
        <v>119</v>
      </c>
      <c r="E1337" s="343">
        <v>1000</v>
      </c>
      <c r="F1337" s="317">
        <f t="shared" si="8"/>
        <v>1.8595856619994786</v>
      </c>
      <c r="G1337" s="344">
        <v>537.75419999999997</v>
      </c>
      <c r="H1337" s="335" t="s">
        <v>212</v>
      </c>
      <c r="I1337" s="127" t="s">
        <v>2234</v>
      </c>
      <c r="J1337" s="127" t="s">
        <v>97</v>
      </c>
      <c r="K1337" s="127" t="s">
        <v>2311</v>
      </c>
      <c r="L1337" s="145" t="s">
        <v>154</v>
      </c>
      <c r="M1337" s="127"/>
      <c r="N1337" s="127"/>
      <c r="O1337" s="127"/>
    </row>
    <row r="1338" spans="1:15" ht="15.6" hidden="1">
      <c r="A1338" s="334">
        <v>45866</v>
      </c>
      <c r="B1338" s="335" t="s">
        <v>2330</v>
      </c>
      <c r="C1338" s="335" t="s">
        <v>2089</v>
      </c>
      <c r="D1338" s="335" t="s">
        <v>119</v>
      </c>
      <c r="E1338" s="324">
        <v>66000</v>
      </c>
      <c r="F1338" s="317">
        <f t="shared" si="8"/>
        <v>122.7326536919656</v>
      </c>
      <c r="G1338" s="344">
        <v>537.75419999999997</v>
      </c>
      <c r="H1338" s="335" t="s">
        <v>212</v>
      </c>
      <c r="I1338" s="129" t="s">
        <v>2235</v>
      </c>
      <c r="J1338" s="127" t="s">
        <v>97</v>
      </c>
      <c r="K1338" s="127" t="s">
        <v>2311</v>
      </c>
      <c r="L1338" s="145" t="s">
        <v>154</v>
      </c>
      <c r="M1338" s="127"/>
      <c r="N1338" s="127"/>
      <c r="O1338" s="127"/>
    </row>
    <row r="1339" spans="1:15" ht="15.6" hidden="1">
      <c r="A1339" s="334">
        <v>45866</v>
      </c>
      <c r="B1339" s="335" t="s">
        <v>2331</v>
      </c>
      <c r="C1339" s="335" t="s">
        <v>2089</v>
      </c>
      <c r="D1339" s="335" t="s">
        <v>119</v>
      </c>
      <c r="E1339" s="324">
        <v>30000</v>
      </c>
      <c r="F1339" s="317">
        <f t="shared" si="8"/>
        <v>55.787569859984359</v>
      </c>
      <c r="G1339" s="344">
        <v>537.75419999999997</v>
      </c>
      <c r="H1339" s="335" t="s">
        <v>212</v>
      </c>
      <c r="I1339" s="129" t="s">
        <v>2236</v>
      </c>
      <c r="J1339" s="127" t="s">
        <v>97</v>
      </c>
      <c r="K1339" s="127" t="s">
        <v>2311</v>
      </c>
      <c r="L1339" s="145" t="s">
        <v>154</v>
      </c>
      <c r="M1339" s="127"/>
      <c r="N1339" s="127"/>
      <c r="O1339" s="127"/>
    </row>
    <row r="1340" spans="1:15" ht="15.6" hidden="1">
      <c r="A1340" s="334">
        <v>45866</v>
      </c>
      <c r="B1340" s="335" t="s">
        <v>2226</v>
      </c>
      <c r="C1340" s="335" t="s">
        <v>2089</v>
      </c>
      <c r="D1340" s="335" t="s">
        <v>119</v>
      </c>
      <c r="E1340" s="324">
        <v>6000</v>
      </c>
      <c r="F1340" s="317">
        <f t="shared" si="8"/>
        <v>11.157513971996872</v>
      </c>
      <c r="G1340" s="344">
        <v>537.75419999999997</v>
      </c>
      <c r="H1340" s="335" t="s">
        <v>212</v>
      </c>
      <c r="I1340" s="129" t="s">
        <v>2237</v>
      </c>
      <c r="J1340" s="127" t="s">
        <v>97</v>
      </c>
      <c r="K1340" s="127" t="s">
        <v>2311</v>
      </c>
      <c r="L1340" s="145" t="s">
        <v>154</v>
      </c>
      <c r="M1340" s="127"/>
      <c r="N1340" s="127"/>
      <c r="O1340" s="127"/>
    </row>
    <row r="1341" spans="1:15" ht="15.6" hidden="1">
      <c r="A1341" s="334">
        <v>45866</v>
      </c>
      <c r="B1341" s="335" t="s">
        <v>2238</v>
      </c>
      <c r="C1341" s="335" t="s">
        <v>173</v>
      </c>
      <c r="D1341" s="335" t="s">
        <v>116</v>
      </c>
      <c r="E1341" s="335">
        <v>1000</v>
      </c>
      <c r="F1341" s="317">
        <f t="shared" si="8"/>
        <v>1.8595856619994786</v>
      </c>
      <c r="G1341" s="344">
        <v>537.75419999999997</v>
      </c>
      <c r="H1341" s="335" t="s">
        <v>186</v>
      </c>
      <c r="I1341" s="127" t="s">
        <v>2240</v>
      </c>
      <c r="J1341" s="127" t="s">
        <v>97</v>
      </c>
      <c r="K1341" s="127" t="s">
        <v>2311</v>
      </c>
      <c r="L1341" s="145" t="s">
        <v>154</v>
      </c>
      <c r="M1341" s="127"/>
      <c r="N1341" s="127"/>
      <c r="O1341" s="127"/>
    </row>
    <row r="1342" spans="1:15" ht="15.6" hidden="1">
      <c r="A1342" s="334">
        <v>45866</v>
      </c>
      <c r="B1342" s="335" t="s">
        <v>2239</v>
      </c>
      <c r="C1342" s="335" t="s">
        <v>173</v>
      </c>
      <c r="D1342" s="335" t="s">
        <v>116</v>
      </c>
      <c r="E1342" s="335">
        <v>1000</v>
      </c>
      <c r="F1342" s="317">
        <f t="shared" si="8"/>
        <v>1.8595856619994786</v>
      </c>
      <c r="G1342" s="344">
        <v>537.75419999999997</v>
      </c>
      <c r="H1342" s="335" t="s">
        <v>186</v>
      </c>
      <c r="I1342" s="127" t="s">
        <v>2240</v>
      </c>
      <c r="J1342" s="127" t="s">
        <v>97</v>
      </c>
      <c r="K1342" s="127" t="s">
        <v>2311</v>
      </c>
      <c r="L1342" s="145" t="s">
        <v>154</v>
      </c>
      <c r="M1342" s="127"/>
      <c r="N1342" s="127"/>
      <c r="O1342" s="127"/>
    </row>
    <row r="1343" spans="1:15" ht="15.6" hidden="1">
      <c r="A1343" s="334">
        <v>45866</v>
      </c>
      <c r="B1343" s="328" t="s">
        <v>2304</v>
      </c>
      <c r="C1343" s="179" t="s">
        <v>122</v>
      </c>
      <c r="D1343" s="179" t="s">
        <v>116</v>
      </c>
      <c r="E1343" s="332">
        <v>300000</v>
      </c>
      <c r="F1343" s="317">
        <f t="shared" si="8"/>
        <v>557.87569859984364</v>
      </c>
      <c r="G1343" s="344">
        <v>537.75419999999997</v>
      </c>
      <c r="H1343" s="335" t="s">
        <v>147</v>
      </c>
      <c r="I1343" s="127" t="s">
        <v>2305</v>
      </c>
      <c r="J1343" s="127" t="s">
        <v>97</v>
      </c>
      <c r="K1343" s="127" t="s">
        <v>2311</v>
      </c>
      <c r="L1343" s="145" t="s">
        <v>154</v>
      </c>
      <c r="M1343" s="127"/>
      <c r="N1343" s="127"/>
      <c r="O1343" s="127"/>
    </row>
    <row r="1344" spans="1:15" ht="15.6" hidden="1">
      <c r="A1344" s="334">
        <v>45867</v>
      </c>
      <c r="B1344" s="302" t="s">
        <v>2100</v>
      </c>
      <c r="C1344" s="303" t="s">
        <v>173</v>
      </c>
      <c r="D1344" s="304" t="s">
        <v>118</v>
      </c>
      <c r="E1344" s="302">
        <v>1000</v>
      </c>
      <c r="F1344" s="317">
        <f t="shared" si="8"/>
        <v>1.8595856619994786</v>
      </c>
      <c r="G1344" s="344">
        <v>537.75419999999997</v>
      </c>
      <c r="H1344" s="306" t="s">
        <v>152</v>
      </c>
      <c r="I1344" s="307" t="s">
        <v>2116</v>
      </c>
      <c r="J1344" s="127" t="s">
        <v>97</v>
      </c>
      <c r="K1344" s="127" t="s">
        <v>2311</v>
      </c>
      <c r="L1344" s="145" t="s">
        <v>154</v>
      </c>
      <c r="M1344" s="127"/>
      <c r="N1344" s="127"/>
      <c r="O1344" s="127"/>
    </row>
    <row r="1345" spans="1:15" ht="15.6" hidden="1">
      <c r="A1345" s="334">
        <v>45867</v>
      </c>
      <c r="B1345" s="302" t="s">
        <v>2101</v>
      </c>
      <c r="C1345" s="303" t="s">
        <v>173</v>
      </c>
      <c r="D1345" s="304" t="s">
        <v>118</v>
      </c>
      <c r="E1345" s="302">
        <v>1000</v>
      </c>
      <c r="F1345" s="317">
        <f t="shared" si="8"/>
        <v>1.8595856619994786</v>
      </c>
      <c r="G1345" s="344">
        <v>537.75419999999997</v>
      </c>
      <c r="H1345" s="306" t="s">
        <v>152</v>
      </c>
      <c r="I1345" s="307" t="s">
        <v>2116</v>
      </c>
      <c r="J1345" s="127" t="s">
        <v>97</v>
      </c>
      <c r="K1345" s="127" t="s">
        <v>2311</v>
      </c>
      <c r="L1345" s="145" t="s">
        <v>154</v>
      </c>
      <c r="M1345" s="127"/>
      <c r="N1345" s="127"/>
      <c r="O1345" s="127"/>
    </row>
    <row r="1346" spans="1:15" ht="15.6" hidden="1">
      <c r="A1346" s="334">
        <v>45867</v>
      </c>
      <c r="B1346" s="335" t="s">
        <v>2157</v>
      </c>
      <c r="C1346" s="335" t="s">
        <v>173</v>
      </c>
      <c r="D1346" s="335" t="s">
        <v>117</v>
      </c>
      <c r="E1346" s="324">
        <v>1000</v>
      </c>
      <c r="F1346" s="317">
        <f t="shared" si="8"/>
        <v>1.8595856619994786</v>
      </c>
      <c r="G1346" s="344">
        <v>537.75419999999997</v>
      </c>
      <c r="H1346" s="335" t="s">
        <v>583</v>
      </c>
      <c r="I1346" s="127" t="s">
        <v>2165</v>
      </c>
      <c r="J1346" s="127" t="s">
        <v>97</v>
      </c>
      <c r="K1346" s="127" t="s">
        <v>2311</v>
      </c>
      <c r="L1346" s="145" t="s">
        <v>154</v>
      </c>
      <c r="M1346" s="127"/>
      <c r="N1346" s="127"/>
      <c r="O1346" s="127"/>
    </row>
    <row r="1347" spans="1:15" ht="15.6" hidden="1">
      <c r="A1347" s="334">
        <v>45867</v>
      </c>
      <c r="B1347" s="335" t="s">
        <v>2158</v>
      </c>
      <c r="C1347" s="335" t="s">
        <v>173</v>
      </c>
      <c r="D1347" s="335" t="s">
        <v>117</v>
      </c>
      <c r="E1347" s="324">
        <v>1000</v>
      </c>
      <c r="F1347" s="317">
        <f t="shared" si="8"/>
        <v>1.8595856619994786</v>
      </c>
      <c r="G1347" s="344">
        <v>537.75419999999997</v>
      </c>
      <c r="H1347" s="335" t="s">
        <v>583</v>
      </c>
      <c r="I1347" s="127" t="s">
        <v>2165</v>
      </c>
      <c r="J1347" s="127" t="s">
        <v>97</v>
      </c>
      <c r="K1347" s="127" t="s">
        <v>2311</v>
      </c>
      <c r="L1347" s="145" t="s">
        <v>154</v>
      </c>
      <c r="M1347" s="127"/>
      <c r="N1347" s="127"/>
      <c r="O1347" s="127"/>
    </row>
    <row r="1348" spans="1:15" ht="15.6" hidden="1">
      <c r="A1348" s="334">
        <v>45867</v>
      </c>
      <c r="B1348" s="335" t="s">
        <v>2159</v>
      </c>
      <c r="C1348" s="179" t="s">
        <v>122</v>
      </c>
      <c r="D1348" s="179" t="s">
        <v>116</v>
      </c>
      <c r="E1348" s="324">
        <v>115000</v>
      </c>
      <c r="F1348" s="317">
        <f t="shared" ref="F1348:F1373" si="9">E1348/G1348</f>
        <v>213.85235112994005</v>
      </c>
      <c r="G1348" s="344">
        <v>537.75419999999997</v>
      </c>
      <c r="H1348" s="335" t="s">
        <v>583</v>
      </c>
      <c r="I1348" s="127" t="s">
        <v>2175</v>
      </c>
      <c r="J1348" s="127" t="s">
        <v>97</v>
      </c>
      <c r="K1348" s="127" t="s">
        <v>2311</v>
      </c>
      <c r="L1348" s="145" t="s">
        <v>154</v>
      </c>
      <c r="M1348" s="127"/>
      <c r="N1348" s="127"/>
      <c r="O1348" s="127"/>
    </row>
    <row r="1349" spans="1:15" ht="15.6" hidden="1">
      <c r="A1349" s="334">
        <v>45867</v>
      </c>
      <c r="B1349" s="335" t="s">
        <v>1549</v>
      </c>
      <c r="C1349" s="335" t="s">
        <v>171</v>
      </c>
      <c r="D1349" s="335" t="s">
        <v>117</v>
      </c>
      <c r="E1349" s="324">
        <v>300000</v>
      </c>
      <c r="F1349" s="317">
        <f t="shared" si="9"/>
        <v>557.87569859984364</v>
      </c>
      <c r="G1349" s="344">
        <v>537.75419999999997</v>
      </c>
      <c r="H1349" s="335" t="s">
        <v>583</v>
      </c>
      <c r="I1349" s="127" t="s">
        <v>2176</v>
      </c>
      <c r="J1349" s="127" t="s">
        <v>97</v>
      </c>
      <c r="K1349" s="127" t="s">
        <v>2311</v>
      </c>
      <c r="L1349" s="145" t="s">
        <v>154</v>
      </c>
      <c r="M1349" s="127"/>
      <c r="N1349" s="127"/>
      <c r="O1349" s="127"/>
    </row>
    <row r="1350" spans="1:15" ht="15.6" hidden="1">
      <c r="A1350" s="334">
        <v>45867</v>
      </c>
      <c r="B1350" s="335" t="s">
        <v>550</v>
      </c>
      <c r="C1350" s="335" t="s">
        <v>171</v>
      </c>
      <c r="D1350" s="335" t="s">
        <v>117</v>
      </c>
      <c r="E1350" s="324">
        <v>25000</v>
      </c>
      <c r="F1350" s="317">
        <f t="shared" si="9"/>
        <v>46.48964154998697</v>
      </c>
      <c r="G1350" s="344">
        <v>537.75419999999997</v>
      </c>
      <c r="H1350" s="335" t="s">
        <v>189</v>
      </c>
      <c r="I1350" s="127" t="s">
        <v>2187</v>
      </c>
      <c r="J1350" s="127" t="s">
        <v>97</v>
      </c>
      <c r="K1350" s="127" t="s">
        <v>2311</v>
      </c>
      <c r="L1350" s="145" t="s">
        <v>154</v>
      </c>
      <c r="M1350" s="127"/>
      <c r="N1350" s="127"/>
      <c r="O1350" s="127"/>
    </row>
    <row r="1351" spans="1:15" ht="15.6" hidden="1">
      <c r="A1351" s="334">
        <v>45867</v>
      </c>
      <c r="B1351" s="335" t="s">
        <v>2227</v>
      </c>
      <c r="C1351" s="181" t="s">
        <v>173</v>
      </c>
      <c r="D1351" s="345" t="s">
        <v>119</v>
      </c>
      <c r="E1351" s="343">
        <v>1000</v>
      </c>
      <c r="F1351" s="317">
        <f t="shared" si="9"/>
        <v>1.8595856619994786</v>
      </c>
      <c r="G1351" s="344">
        <v>537.75419999999997</v>
      </c>
      <c r="H1351" s="335" t="s">
        <v>212</v>
      </c>
      <c r="I1351" s="127" t="s">
        <v>2234</v>
      </c>
      <c r="J1351" s="127" t="s">
        <v>97</v>
      </c>
      <c r="K1351" s="127" t="s">
        <v>2311</v>
      </c>
      <c r="L1351" s="145" t="s">
        <v>154</v>
      </c>
      <c r="M1351" s="127"/>
      <c r="N1351" s="127"/>
      <c r="O1351" s="127"/>
    </row>
    <row r="1352" spans="1:15" ht="15.6" hidden="1">
      <c r="A1352" s="334">
        <v>45867</v>
      </c>
      <c r="B1352" s="335" t="s">
        <v>2228</v>
      </c>
      <c r="C1352" s="181" t="s">
        <v>173</v>
      </c>
      <c r="D1352" s="345" t="s">
        <v>119</v>
      </c>
      <c r="E1352" s="343">
        <v>1000</v>
      </c>
      <c r="F1352" s="317">
        <f t="shared" si="9"/>
        <v>1.8595856619994786</v>
      </c>
      <c r="G1352" s="344">
        <v>537.75419999999997</v>
      </c>
      <c r="H1352" s="335" t="s">
        <v>212</v>
      </c>
      <c r="I1352" s="127" t="s">
        <v>2234</v>
      </c>
      <c r="J1352" s="127" t="s">
        <v>97</v>
      </c>
      <c r="K1352" s="127" t="s">
        <v>2311</v>
      </c>
      <c r="L1352" s="145" t="s">
        <v>154</v>
      </c>
      <c r="M1352" s="127"/>
      <c r="N1352" s="127"/>
      <c r="O1352" s="127"/>
    </row>
    <row r="1353" spans="1:15" ht="15.6" hidden="1">
      <c r="A1353" s="334">
        <v>45867</v>
      </c>
      <c r="B1353" s="335" t="s">
        <v>2229</v>
      </c>
      <c r="C1353" s="181" t="s">
        <v>173</v>
      </c>
      <c r="D1353" s="345" t="s">
        <v>119</v>
      </c>
      <c r="E1353" s="343">
        <v>1000</v>
      </c>
      <c r="F1353" s="317">
        <f t="shared" si="9"/>
        <v>1.8595856619994786</v>
      </c>
      <c r="G1353" s="344">
        <v>537.75419999999997</v>
      </c>
      <c r="H1353" s="335" t="s">
        <v>212</v>
      </c>
      <c r="I1353" s="127" t="s">
        <v>2234</v>
      </c>
      <c r="J1353" s="127" t="s">
        <v>97</v>
      </c>
      <c r="K1353" s="127" t="s">
        <v>2311</v>
      </c>
      <c r="L1353" s="145" t="s">
        <v>154</v>
      </c>
      <c r="M1353" s="127"/>
      <c r="N1353" s="127"/>
      <c r="O1353" s="127"/>
    </row>
    <row r="1354" spans="1:15" ht="15.6" hidden="1">
      <c r="A1354" s="334">
        <v>45867</v>
      </c>
      <c r="B1354" s="335" t="s">
        <v>2230</v>
      </c>
      <c r="C1354" s="181" t="s">
        <v>173</v>
      </c>
      <c r="D1354" s="345" t="s">
        <v>119</v>
      </c>
      <c r="E1354" s="343">
        <v>1000</v>
      </c>
      <c r="F1354" s="317">
        <f t="shared" si="9"/>
        <v>1.8595856619994786</v>
      </c>
      <c r="G1354" s="344">
        <v>537.75419999999997</v>
      </c>
      <c r="H1354" s="335" t="s">
        <v>212</v>
      </c>
      <c r="I1354" s="127" t="s">
        <v>2234</v>
      </c>
      <c r="J1354" s="127" t="s">
        <v>97</v>
      </c>
      <c r="K1354" s="127" t="s">
        <v>2311</v>
      </c>
      <c r="L1354" s="145" t="s">
        <v>154</v>
      </c>
      <c r="M1354" s="127"/>
      <c r="N1354" s="127"/>
      <c r="O1354" s="127"/>
    </row>
    <row r="1355" spans="1:15" ht="15.6" hidden="1">
      <c r="A1355" s="334">
        <v>45867</v>
      </c>
      <c r="B1355" s="335" t="s">
        <v>2231</v>
      </c>
      <c r="C1355" s="181" t="s">
        <v>173</v>
      </c>
      <c r="D1355" s="345" t="s">
        <v>119</v>
      </c>
      <c r="E1355" s="343">
        <v>1000</v>
      </c>
      <c r="F1355" s="317">
        <f t="shared" si="9"/>
        <v>1.8595856619994786</v>
      </c>
      <c r="G1355" s="344">
        <v>537.75419999999997</v>
      </c>
      <c r="H1355" s="335" t="s">
        <v>212</v>
      </c>
      <c r="I1355" s="127" t="s">
        <v>2234</v>
      </c>
      <c r="J1355" s="127" t="s">
        <v>97</v>
      </c>
      <c r="K1355" s="127" t="s">
        <v>2311</v>
      </c>
      <c r="L1355" s="145" t="s">
        <v>154</v>
      </c>
      <c r="M1355" s="127"/>
      <c r="N1355" s="127"/>
      <c r="O1355" s="127"/>
    </row>
    <row r="1356" spans="1:15" ht="15.6" hidden="1">
      <c r="A1356" s="334">
        <v>45867</v>
      </c>
      <c r="B1356" s="335" t="s">
        <v>2232</v>
      </c>
      <c r="C1356" s="181" t="s">
        <v>173</v>
      </c>
      <c r="D1356" s="345" t="s">
        <v>119</v>
      </c>
      <c r="E1356" s="343">
        <v>1000</v>
      </c>
      <c r="F1356" s="317">
        <f t="shared" si="9"/>
        <v>1.8595856619994786</v>
      </c>
      <c r="G1356" s="344">
        <v>537.75419999999997</v>
      </c>
      <c r="H1356" s="335" t="s">
        <v>212</v>
      </c>
      <c r="I1356" s="127" t="s">
        <v>2234</v>
      </c>
      <c r="J1356" s="127" t="s">
        <v>97</v>
      </c>
      <c r="K1356" s="127" t="s">
        <v>2311</v>
      </c>
      <c r="L1356" s="145" t="s">
        <v>154</v>
      </c>
      <c r="M1356" s="127"/>
      <c r="N1356" s="127"/>
      <c r="O1356" s="127"/>
    </row>
    <row r="1357" spans="1:15" ht="15.6" hidden="1">
      <c r="A1357" s="334">
        <v>45867</v>
      </c>
      <c r="B1357" s="335" t="s">
        <v>2233</v>
      </c>
      <c r="C1357" s="181" t="s">
        <v>173</v>
      </c>
      <c r="D1357" s="345" t="s">
        <v>119</v>
      </c>
      <c r="E1357" s="343">
        <v>1000</v>
      </c>
      <c r="F1357" s="317">
        <f t="shared" si="9"/>
        <v>1.8595856619994786</v>
      </c>
      <c r="G1357" s="344">
        <v>537.75419999999997</v>
      </c>
      <c r="H1357" s="335" t="s">
        <v>212</v>
      </c>
      <c r="I1357" s="127" t="s">
        <v>2234</v>
      </c>
      <c r="J1357" s="127" t="s">
        <v>97</v>
      </c>
      <c r="K1357" s="127" t="s">
        <v>2311</v>
      </c>
      <c r="L1357" s="145" t="s">
        <v>154</v>
      </c>
      <c r="M1357" s="127"/>
      <c r="N1357" s="127"/>
      <c r="O1357" s="127"/>
    </row>
    <row r="1358" spans="1:15" ht="15.6" hidden="1">
      <c r="A1358" s="334">
        <v>45868</v>
      </c>
      <c r="B1358" s="302" t="s">
        <v>2100</v>
      </c>
      <c r="C1358" s="303" t="s">
        <v>173</v>
      </c>
      <c r="D1358" s="304" t="s">
        <v>118</v>
      </c>
      <c r="E1358" s="302">
        <v>1000</v>
      </c>
      <c r="F1358" s="317">
        <f t="shared" si="9"/>
        <v>1.8595856619994786</v>
      </c>
      <c r="G1358" s="344">
        <v>537.75419999999997</v>
      </c>
      <c r="H1358" s="306" t="s">
        <v>152</v>
      </c>
      <c r="I1358" s="307" t="s">
        <v>2116</v>
      </c>
      <c r="J1358" s="127" t="s">
        <v>97</v>
      </c>
      <c r="K1358" s="127" t="s">
        <v>2311</v>
      </c>
      <c r="L1358" s="145" t="s">
        <v>154</v>
      </c>
      <c r="M1358" s="127"/>
      <c r="N1358" s="127"/>
      <c r="O1358" s="127"/>
    </row>
    <row r="1359" spans="1:15" ht="15.6" hidden="1">
      <c r="A1359" s="334">
        <v>45868</v>
      </c>
      <c r="B1359" s="302" t="s">
        <v>2101</v>
      </c>
      <c r="C1359" s="303" t="s">
        <v>173</v>
      </c>
      <c r="D1359" s="304" t="s">
        <v>118</v>
      </c>
      <c r="E1359" s="302">
        <v>1000</v>
      </c>
      <c r="F1359" s="317">
        <f t="shared" si="9"/>
        <v>1.8595856619994786</v>
      </c>
      <c r="G1359" s="344">
        <v>537.75419999999997</v>
      </c>
      <c r="H1359" s="306" t="s">
        <v>152</v>
      </c>
      <c r="I1359" s="307" t="s">
        <v>2116</v>
      </c>
      <c r="J1359" s="127" t="s">
        <v>97</v>
      </c>
      <c r="K1359" s="127" t="s">
        <v>2311</v>
      </c>
      <c r="L1359" s="145" t="s">
        <v>154</v>
      </c>
      <c r="M1359" s="127"/>
      <c r="N1359" s="127"/>
      <c r="O1359" s="127"/>
    </row>
    <row r="1360" spans="1:15" ht="15.6" hidden="1">
      <c r="A1360" s="334">
        <v>45868</v>
      </c>
      <c r="B1360" s="335" t="s">
        <v>2160</v>
      </c>
      <c r="C1360" s="335" t="s">
        <v>173</v>
      </c>
      <c r="D1360" s="335" t="s">
        <v>117</v>
      </c>
      <c r="E1360" s="324">
        <v>1000</v>
      </c>
      <c r="F1360" s="317">
        <f t="shared" si="9"/>
        <v>1.8595856619994786</v>
      </c>
      <c r="G1360" s="344">
        <v>537.75419999999997</v>
      </c>
      <c r="H1360" s="335" t="s">
        <v>583</v>
      </c>
      <c r="I1360" s="127" t="s">
        <v>2165</v>
      </c>
      <c r="J1360" s="127" t="s">
        <v>97</v>
      </c>
      <c r="K1360" s="127" t="s">
        <v>2311</v>
      </c>
      <c r="L1360" s="145" t="s">
        <v>154</v>
      </c>
      <c r="M1360" s="127"/>
      <c r="N1360" s="127"/>
      <c r="O1360" s="127"/>
    </row>
    <row r="1361" spans="1:15" ht="15.6" hidden="1">
      <c r="A1361" s="334">
        <v>45868</v>
      </c>
      <c r="B1361" s="335" t="s">
        <v>2161</v>
      </c>
      <c r="C1361" s="335" t="s">
        <v>173</v>
      </c>
      <c r="D1361" s="335" t="s">
        <v>117</v>
      </c>
      <c r="E1361" s="324">
        <v>1000</v>
      </c>
      <c r="F1361" s="317">
        <f t="shared" si="9"/>
        <v>1.8595856619994786</v>
      </c>
      <c r="G1361" s="344">
        <v>537.75419999999997</v>
      </c>
      <c r="H1361" s="335" t="s">
        <v>583</v>
      </c>
      <c r="I1361" s="127" t="s">
        <v>2165</v>
      </c>
      <c r="J1361" s="127" t="s">
        <v>97</v>
      </c>
      <c r="K1361" s="127" t="s">
        <v>2311</v>
      </c>
      <c r="L1361" s="145" t="s">
        <v>154</v>
      </c>
      <c r="M1361" s="127"/>
      <c r="N1361" s="127"/>
      <c r="O1361" s="127"/>
    </row>
    <row r="1362" spans="1:15" ht="15.6" hidden="1">
      <c r="A1362" s="334">
        <v>45868</v>
      </c>
      <c r="B1362" s="335" t="s">
        <v>2162</v>
      </c>
      <c r="C1362" s="335" t="s">
        <v>626</v>
      </c>
      <c r="D1362" s="335" t="s">
        <v>117</v>
      </c>
      <c r="E1362" s="324">
        <v>45050</v>
      </c>
      <c r="F1362" s="317">
        <f t="shared" si="9"/>
        <v>83.774334073076517</v>
      </c>
      <c r="G1362" s="344">
        <v>537.75419999999997</v>
      </c>
      <c r="H1362" s="335" t="s">
        <v>583</v>
      </c>
      <c r="I1362" s="127" t="s">
        <v>2177</v>
      </c>
      <c r="J1362" s="127" t="s">
        <v>97</v>
      </c>
      <c r="K1362" s="127" t="s">
        <v>2311</v>
      </c>
      <c r="L1362" s="145" t="s">
        <v>154</v>
      </c>
      <c r="M1362" s="127"/>
      <c r="N1362" s="127"/>
      <c r="O1362" s="127"/>
    </row>
    <row r="1363" spans="1:15" ht="15.6" hidden="1">
      <c r="A1363" s="334">
        <v>45868</v>
      </c>
      <c r="B1363" s="328" t="s">
        <v>2306</v>
      </c>
      <c r="C1363" s="179" t="s">
        <v>126</v>
      </c>
      <c r="D1363" s="179" t="s">
        <v>442</v>
      </c>
      <c r="E1363" s="332">
        <v>370000</v>
      </c>
      <c r="F1363" s="317">
        <f t="shared" si="9"/>
        <v>688.04669493980714</v>
      </c>
      <c r="G1363" s="344">
        <v>537.75419999999997</v>
      </c>
      <c r="H1363" s="335" t="s">
        <v>147</v>
      </c>
      <c r="I1363" s="127" t="s">
        <v>2307</v>
      </c>
      <c r="J1363" s="127" t="s">
        <v>97</v>
      </c>
      <c r="K1363" s="127" t="s">
        <v>2311</v>
      </c>
      <c r="L1363" s="145" t="s">
        <v>154</v>
      </c>
      <c r="M1363" s="127"/>
      <c r="N1363" s="127"/>
      <c r="O1363" s="127"/>
    </row>
    <row r="1364" spans="1:15" ht="15.6" hidden="1">
      <c r="A1364" s="334">
        <v>45868</v>
      </c>
      <c r="B1364" s="328" t="s">
        <v>2308</v>
      </c>
      <c r="C1364" s="179"/>
      <c r="D1364" s="179" t="s">
        <v>442</v>
      </c>
      <c r="E1364" s="332">
        <v>225000</v>
      </c>
      <c r="F1364" s="317">
        <f t="shared" si="9"/>
        <v>418.40677394988268</v>
      </c>
      <c r="G1364" s="344">
        <v>537.75419999999997</v>
      </c>
      <c r="H1364" s="335" t="s">
        <v>147</v>
      </c>
      <c r="I1364" s="127" t="s">
        <v>2309</v>
      </c>
      <c r="J1364" s="127" t="s">
        <v>97</v>
      </c>
      <c r="K1364" s="127" t="s">
        <v>2311</v>
      </c>
      <c r="L1364" s="145" t="s">
        <v>154</v>
      </c>
      <c r="M1364" s="127"/>
      <c r="N1364" s="127"/>
      <c r="O1364" s="127"/>
    </row>
    <row r="1365" spans="1:15" ht="15.6" hidden="1">
      <c r="A1365" s="334">
        <v>45869</v>
      </c>
      <c r="B1365" s="302" t="s">
        <v>2100</v>
      </c>
      <c r="C1365" s="303" t="s">
        <v>173</v>
      </c>
      <c r="D1365" s="304" t="s">
        <v>118</v>
      </c>
      <c r="E1365" s="302">
        <v>1000</v>
      </c>
      <c r="F1365" s="317">
        <f t="shared" si="9"/>
        <v>1.8595856619994786</v>
      </c>
      <c r="G1365" s="344">
        <v>537.75419999999997</v>
      </c>
      <c r="H1365" s="306" t="s">
        <v>152</v>
      </c>
      <c r="I1365" s="307" t="s">
        <v>2116</v>
      </c>
      <c r="J1365" s="127" t="s">
        <v>97</v>
      </c>
      <c r="K1365" s="127" t="s">
        <v>2311</v>
      </c>
      <c r="L1365" s="145" t="s">
        <v>154</v>
      </c>
      <c r="M1365" s="127"/>
      <c r="N1365" s="127"/>
      <c r="O1365" s="127"/>
    </row>
    <row r="1366" spans="1:15" ht="15.6" hidden="1">
      <c r="A1366" s="334">
        <v>45869</v>
      </c>
      <c r="B1366" s="302" t="s">
        <v>2101</v>
      </c>
      <c r="C1366" s="303" t="s">
        <v>173</v>
      </c>
      <c r="D1366" s="304" t="s">
        <v>118</v>
      </c>
      <c r="E1366" s="302">
        <v>1000</v>
      </c>
      <c r="F1366" s="317">
        <f t="shared" si="9"/>
        <v>1.8595856619994786</v>
      </c>
      <c r="G1366" s="344">
        <v>537.75419999999997</v>
      </c>
      <c r="H1366" s="306" t="s">
        <v>152</v>
      </c>
      <c r="I1366" s="307" t="s">
        <v>2116</v>
      </c>
      <c r="J1366" s="127" t="s">
        <v>97</v>
      </c>
      <c r="K1366" s="127" t="s">
        <v>2311</v>
      </c>
      <c r="L1366" s="145" t="s">
        <v>154</v>
      </c>
      <c r="M1366" s="186"/>
      <c r="N1366" s="186"/>
      <c r="O1366" s="186"/>
    </row>
    <row r="1367" spans="1:15" ht="15.6" hidden="1">
      <c r="A1367" s="334">
        <v>45869</v>
      </c>
      <c r="B1367" s="335" t="s">
        <v>2163</v>
      </c>
      <c r="C1367" s="335" t="s">
        <v>173</v>
      </c>
      <c r="D1367" s="335" t="s">
        <v>117</v>
      </c>
      <c r="E1367" s="324">
        <v>1000</v>
      </c>
      <c r="F1367" s="317">
        <f t="shared" si="9"/>
        <v>1.8595856619994786</v>
      </c>
      <c r="G1367" s="344">
        <v>537.75419999999997</v>
      </c>
      <c r="H1367" s="335" t="s">
        <v>583</v>
      </c>
      <c r="I1367" s="127" t="s">
        <v>2165</v>
      </c>
      <c r="J1367" s="127" t="s">
        <v>97</v>
      </c>
      <c r="K1367" s="127" t="s">
        <v>2311</v>
      </c>
      <c r="L1367" s="145" t="s">
        <v>154</v>
      </c>
      <c r="M1367" s="127"/>
      <c r="N1367" s="127"/>
      <c r="O1367" s="127"/>
    </row>
    <row r="1368" spans="1:15" ht="15.6" hidden="1">
      <c r="A1368" s="334">
        <v>45869</v>
      </c>
      <c r="B1368" s="335" t="s">
        <v>2164</v>
      </c>
      <c r="C1368" s="335" t="s">
        <v>173</v>
      </c>
      <c r="D1368" s="335" t="s">
        <v>117</v>
      </c>
      <c r="E1368" s="324">
        <v>1000</v>
      </c>
      <c r="F1368" s="317">
        <f t="shared" si="9"/>
        <v>1.8595856619994786</v>
      </c>
      <c r="G1368" s="344">
        <v>537.75419999999997</v>
      </c>
      <c r="H1368" s="335" t="s">
        <v>583</v>
      </c>
      <c r="I1368" s="127" t="s">
        <v>2165</v>
      </c>
      <c r="J1368" s="127" t="s">
        <v>97</v>
      </c>
      <c r="K1368" s="127" t="s">
        <v>2311</v>
      </c>
      <c r="L1368" s="145" t="s">
        <v>154</v>
      </c>
      <c r="M1368" s="127"/>
      <c r="N1368" s="127"/>
      <c r="O1368" s="127"/>
    </row>
    <row r="1369" spans="1:15" ht="15.6" hidden="1">
      <c r="A1369" s="334">
        <v>45869</v>
      </c>
      <c r="B1369" s="335" t="s">
        <v>2184</v>
      </c>
      <c r="C1369" s="335" t="s">
        <v>151</v>
      </c>
      <c r="D1369" s="335" t="s">
        <v>116</v>
      </c>
      <c r="E1369" s="324">
        <v>5000</v>
      </c>
      <c r="F1369" s="317">
        <f t="shared" si="9"/>
        <v>9.2979283099973937</v>
      </c>
      <c r="G1369" s="344">
        <v>537.75419999999997</v>
      </c>
      <c r="H1369" s="335" t="s">
        <v>189</v>
      </c>
      <c r="I1369" s="127" t="s">
        <v>2188</v>
      </c>
      <c r="J1369" s="127" t="s">
        <v>97</v>
      </c>
      <c r="K1369" s="127" t="s">
        <v>2311</v>
      </c>
      <c r="L1369" s="145" t="s">
        <v>154</v>
      </c>
      <c r="M1369" s="127"/>
      <c r="N1369" s="127"/>
      <c r="O1369" s="127"/>
    </row>
    <row r="1370" spans="1:15" ht="15.6" hidden="1">
      <c r="A1370" s="334">
        <v>45869</v>
      </c>
      <c r="B1370" s="181" t="s">
        <v>2198</v>
      </c>
      <c r="C1370" s="181" t="s">
        <v>151</v>
      </c>
      <c r="D1370" s="181" t="s">
        <v>116</v>
      </c>
      <c r="E1370" s="324">
        <v>5000</v>
      </c>
      <c r="F1370" s="317">
        <f t="shared" si="9"/>
        <v>9.2979283099973937</v>
      </c>
      <c r="G1370" s="344">
        <v>537.75419999999997</v>
      </c>
      <c r="H1370" s="181" t="s">
        <v>192</v>
      </c>
      <c r="I1370" s="181" t="s">
        <v>2204</v>
      </c>
      <c r="J1370" s="127" t="s">
        <v>97</v>
      </c>
      <c r="K1370" s="127" t="s">
        <v>2311</v>
      </c>
      <c r="L1370" s="145" t="s">
        <v>154</v>
      </c>
      <c r="M1370" s="127"/>
      <c r="N1370" s="127"/>
      <c r="O1370" s="127"/>
    </row>
    <row r="1371" spans="1:15" ht="15.6" hidden="1">
      <c r="A1371" s="334">
        <v>45869</v>
      </c>
      <c r="B1371" s="181" t="s">
        <v>2199</v>
      </c>
      <c r="C1371" s="181" t="s">
        <v>173</v>
      </c>
      <c r="D1371" s="181" t="s">
        <v>116</v>
      </c>
      <c r="E1371" s="324">
        <v>1000</v>
      </c>
      <c r="F1371" s="317">
        <f t="shared" si="9"/>
        <v>1.8595856619994786</v>
      </c>
      <c r="G1371" s="344">
        <v>537.75419999999997</v>
      </c>
      <c r="H1371" s="181" t="s">
        <v>192</v>
      </c>
      <c r="I1371" s="181" t="s">
        <v>2201</v>
      </c>
      <c r="J1371" s="127" t="s">
        <v>97</v>
      </c>
      <c r="K1371" s="127" t="s">
        <v>2311</v>
      </c>
      <c r="L1371" s="145" t="s">
        <v>154</v>
      </c>
      <c r="M1371" s="127"/>
      <c r="N1371" s="127"/>
      <c r="O1371" s="127"/>
    </row>
    <row r="1372" spans="1:15" ht="15.6" hidden="1">
      <c r="A1372" s="334">
        <v>45869</v>
      </c>
      <c r="B1372" s="181" t="s">
        <v>2200</v>
      </c>
      <c r="C1372" s="244" t="s">
        <v>173</v>
      </c>
      <c r="D1372" s="181" t="s">
        <v>116</v>
      </c>
      <c r="E1372" s="324">
        <v>1000</v>
      </c>
      <c r="F1372" s="317">
        <f t="shared" si="9"/>
        <v>1.8595856619994786</v>
      </c>
      <c r="G1372" s="344">
        <v>537.75419999999997</v>
      </c>
      <c r="H1372" s="181" t="s">
        <v>192</v>
      </c>
      <c r="I1372" s="181" t="s">
        <v>2201</v>
      </c>
      <c r="J1372" s="127" t="s">
        <v>97</v>
      </c>
      <c r="K1372" s="127" t="s">
        <v>2311</v>
      </c>
      <c r="L1372" s="145" t="s">
        <v>154</v>
      </c>
      <c r="M1372" s="127"/>
      <c r="N1372" s="127"/>
      <c r="O1372" s="127"/>
    </row>
    <row r="1373" spans="1:15" ht="15.6" hidden="1">
      <c r="A1373" s="334">
        <v>45869</v>
      </c>
      <c r="B1373" s="247" t="s">
        <v>2321</v>
      </c>
      <c r="C1373" s="335" t="s">
        <v>151</v>
      </c>
      <c r="D1373" s="335" t="s">
        <v>116</v>
      </c>
      <c r="E1373" s="335">
        <v>5000</v>
      </c>
      <c r="F1373" s="317">
        <f t="shared" si="9"/>
        <v>9.2979283099973937</v>
      </c>
      <c r="G1373" s="344">
        <v>537.75419999999997</v>
      </c>
      <c r="H1373" s="335" t="s">
        <v>186</v>
      </c>
      <c r="I1373" s="127" t="s">
        <v>2241</v>
      </c>
      <c r="J1373" s="127" t="s">
        <v>97</v>
      </c>
      <c r="K1373" s="127" t="s">
        <v>2311</v>
      </c>
      <c r="L1373" s="145" t="s">
        <v>154</v>
      </c>
      <c r="M1373" s="127"/>
      <c r="N1373" s="127"/>
      <c r="O1373" s="127"/>
    </row>
    <row r="1374" spans="1:15" ht="15.6" hidden="1">
      <c r="A1374" s="371">
        <v>45870</v>
      </c>
      <c r="B1374" s="396" t="s">
        <v>2383</v>
      </c>
      <c r="C1374" s="303" t="s">
        <v>173</v>
      </c>
      <c r="D1374" s="303" t="s">
        <v>118</v>
      </c>
      <c r="E1374" s="396">
        <v>1000</v>
      </c>
      <c r="F1374" s="317">
        <f t="shared" ref="F1374:F1405" si="10">E1374/G1374</f>
        <v>1.7827155035636482</v>
      </c>
      <c r="G1374" s="318">
        <v>560.94200000000001</v>
      </c>
      <c r="H1374" s="403" t="s">
        <v>152</v>
      </c>
      <c r="I1374" s="404" t="s">
        <v>2425</v>
      </c>
      <c r="J1374" s="179" t="s">
        <v>97</v>
      </c>
      <c r="K1374" s="127" t="s">
        <v>1903</v>
      </c>
      <c r="L1374" s="179" t="s">
        <v>154</v>
      </c>
      <c r="M1374" s="127"/>
      <c r="N1374" s="127"/>
    </row>
    <row r="1375" spans="1:15" ht="15.6" hidden="1">
      <c r="A1375" s="371">
        <v>45870</v>
      </c>
      <c r="B1375" s="396" t="s">
        <v>2101</v>
      </c>
      <c r="C1375" s="303" t="s">
        <v>173</v>
      </c>
      <c r="D1375" s="303" t="s">
        <v>118</v>
      </c>
      <c r="E1375" s="396">
        <v>1000</v>
      </c>
      <c r="F1375" s="317">
        <f t="shared" si="10"/>
        <v>1.7827155035636482</v>
      </c>
      <c r="G1375" s="318">
        <v>560.94200000000001</v>
      </c>
      <c r="H1375" s="403" t="s">
        <v>152</v>
      </c>
      <c r="I1375" s="404" t="s">
        <v>2425</v>
      </c>
      <c r="J1375" s="179" t="s">
        <v>97</v>
      </c>
      <c r="K1375" s="127" t="s">
        <v>1903</v>
      </c>
      <c r="L1375" s="179" t="s">
        <v>154</v>
      </c>
      <c r="M1375" s="127"/>
      <c r="N1375" s="127"/>
    </row>
    <row r="1376" spans="1:15" ht="15.6" hidden="1">
      <c r="A1376" s="378">
        <v>45870</v>
      </c>
      <c r="B1376" s="179" t="s">
        <v>2428</v>
      </c>
      <c r="C1376" s="179" t="s">
        <v>173</v>
      </c>
      <c r="D1376" s="179" t="s">
        <v>117</v>
      </c>
      <c r="E1376" s="332">
        <v>1000</v>
      </c>
      <c r="F1376" s="317">
        <f t="shared" si="10"/>
        <v>1.7827155035636482</v>
      </c>
      <c r="G1376" s="318">
        <v>560.94200000000001</v>
      </c>
      <c r="H1376" s="179" t="s">
        <v>583</v>
      </c>
      <c r="I1376" s="179" t="s">
        <v>2464</v>
      </c>
      <c r="J1376" s="179" t="s">
        <v>97</v>
      </c>
      <c r="K1376" s="127" t="s">
        <v>1903</v>
      </c>
      <c r="L1376" s="179" t="s">
        <v>154</v>
      </c>
      <c r="M1376" s="127"/>
      <c r="N1376" s="127"/>
    </row>
    <row r="1377" spans="1:14" ht="15.6" hidden="1">
      <c r="A1377" s="378">
        <v>45870</v>
      </c>
      <c r="B1377" s="179" t="s">
        <v>2429</v>
      </c>
      <c r="C1377" s="179" t="s">
        <v>173</v>
      </c>
      <c r="D1377" s="179" t="s">
        <v>117</v>
      </c>
      <c r="E1377" s="332">
        <v>1000</v>
      </c>
      <c r="F1377" s="317">
        <f t="shared" si="10"/>
        <v>1.7827155035636482</v>
      </c>
      <c r="G1377" s="318">
        <v>560.94200000000001</v>
      </c>
      <c r="H1377" s="179" t="s">
        <v>583</v>
      </c>
      <c r="I1377" s="179" t="s">
        <v>2464</v>
      </c>
      <c r="J1377" s="179" t="s">
        <v>97</v>
      </c>
      <c r="K1377" s="127" t="s">
        <v>1903</v>
      </c>
      <c r="L1377" s="179" t="s">
        <v>154</v>
      </c>
      <c r="M1377" s="127"/>
      <c r="N1377" s="127"/>
    </row>
    <row r="1378" spans="1:14" ht="15.6" hidden="1">
      <c r="A1378" s="385">
        <v>45870</v>
      </c>
      <c r="B1378" s="328" t="s">
        <v>2799</v>
      </c>
      <c r="C1378" s="179" t="s">
        <v>125</v>
      </c>
      <c r="D1378" s="336" t="s">
        <v>117</v>
      </c>
      <c r="E1378" s="332">
        <v>500000</v>
      </c>
      <c r="F1378" s="317">
        <f t="shared" si="10"/>
        <v>891.35775178182416</v>
      </c>
      <c r="G1378" s="318">
        <v>560.94200000000001</v>
      </c>
      <c r="H1378" s="179" t="s">
        <v>147</v>
      </c>
      <c r="I1378" s="179" t="s">
        <v>2782</v>
      </c>
      <c r="J1378" s="179" t="s">
        <v>97</v>
      </c>
      <c r="K1378" s="127" t="s">
        <v>1903</v>
      </c>
      <c r="L1378" s="179" t="s">
        <v>154</v>
      </c>
      <c r="M1378" s="76"/>
      <c r="N1378" s="76"/>
    </row>
    <row r="1379" spans="1:14" ht="15.6" hidden="1">
      <c r="A1379" s="372">
        <v>45873</v>
      </c>
      <c r="B1379" s="396" t="s">
        <v>2100</v>
      </c>
      <c r="C1379" s="303" t="s">
        <v>173</v>
      </c>
      <c r="D1379" s="303" t="s">
        <v>118</v>
      </c>
      <c r="E1379" s="396">
        <v>1000</v>
      </c>
      <c r="F1379" s="317">
        <f t="shared" si="10"/>
        <v>1.7827155035636482</v>
      </c>
      <c r="G1379" s="318">
        <v>560.94200000000001</v>
      </c>
      <c r="H1379" s="403" t="s">
        <v>152</v>
      </c>
      <c r="I1379" s="404" t="s">
        <v>2425</v>
      </c>
      <c r="J1379" s="179" t="s">
        <v>97</v>
      </c>
      <c r="K1379" s="127" t="s">
        <v>1903</v>
      </c>
      <c r="L1379" s="179" t="s">
        <v>154</v>
      </c>
      <c r="M1379" s="127"/>
      <c r="N1379" s="127"/>
    </row>
    <row r="1380" spans="1:14" ht="15.6" hidden="1">
      <c r="A1380" s="372">
        <v>45873</v>
      </c>
      <c r="B1380" s="396" t="s">
        <v>2384</v>
      </c>
      <c r="C1380" s="303" t="s">
        <v>173</v>
      </c>
      <c r="D1380" s="303" t="s">
        <v>118</v>
      </c>
      <c r="E1380" s="396">
        <v>1000</v>
      </c>
      <c r="F1380" s="317">
        <f t="shared" si="10"/>
        <v>1.7827155035636482</v>
      </c>
      <c r="G1380" s="318">
        <v>560.94200000000001</v>
      </c>
      <c r="H1380" s="403" t="s">
        <v>152</v>
      </c>
      <c r="I1380" s="404" t="s">
        <v>2425</v>
      </c>
      <c r="J1380" s="179" t="s">
        <v>97</v>
      </c>
      <c r="K1380" s="127" t="s">
        <v>1903</v>
      </c>
      <c r="L1380" s="179" t="s">
        <v>154</v>
      </c>
      <c r="M1380" s="127"/>
      <c r="N1380" s="127"/>
    </row>
    <row r="1381" spans="1:14" ht="15.6" hidden="1">
      <c r="A1381" s="385">
        <v>45873</v>
      </c>
      <c r="B1381" s="328" t="s">
        <v>2762</v>
      </c>
      <c r="C1381" s="336" t="s">
        <v>126</v>
      </c>
      <c r="D1381" s="179" t="s">
        <v>442</v>
      </c>
      <c r="E1381" s="332">
        <v>159677</v>
      </c>
      <c r="F1381" s="317">
        <f t="shared" si="10"/>
        <v>284.65866346253267</v>
      </c>
      <c r="G1381" s="318">
        <v>560.94200000000001</v>
      </c>
      <c r="H1381" s="179" t="s">
        <v>147</v>
      </c>
      <c r="I1381" s="179" t="s">
        <v>2783</v>
      </c>
      <c r="J1381" s="179" t="s">
        <v>97</v>
      </c>
      <c r="K1381" s="127" t="s">
        <v>1903</v>
      </c>
      <c r="L1381" s="179" t="s">
        <v>154</v>
      </c>
      <c r="M1381" s="76"/>
      <c r="N1381" s="76"/>
    </row>
    <row r="1382" spans="1:14" ht="15.6" hidden="1">
      <c r="A1382" s="372">
        <v>45874</v>
      </c>
      <c r="B1382" s="396" t="s">
        <v>2100</v>
      </c>
      <c r="C1382" s="303" t="s">
        <v>173</v>
      </c>
      <c r="D1382" s="303" t="s">
        <v>118</v>
      </c>
      <c r="E1382" s="396">
        <v>1000</v>
      </c>
      <c r="F1382" s="317">
        <f t="shared" si="10"/>
        <v>1.7827155035636482</v>
      </c>
      <c r="G1382" s="318">
        <v>560.94200000000001</v>
      </c>
      <c r="H1382" s="403" t="s">
        <v>152</v>
      </c>
      <c r="I1382" s="404" t="s">
        <v>2425</v>
      </c>
      <c r="J1382" s="179" t="s">
        <v>97</v>
      </c>
      <c r="K1382" s="127" t="s">
        <v>1903</v>
      </c>
      <c r="L1382" s="179" t="s">
        <v>154</v>
      </c>
      <c r="M1382" s="127"/>
      <c r="N1382" s="127"/>
    </row>
    <row r="1383" spans="1:14" ht="15.6" hidden="1">
      <c r="A1383" s="372">
        <v>45874</v>
      </c>
      <c r="B1383" s="396" t="s">
        <v>2101</v>
      </c>
      <c r="C1383" s="303" t="s">
        <v>173</v>
      </c>
      <c r="D1383" s="303" t="s">
        <v>118</v>
      </c>
      <c r="E1383" s="396">
        <v>1000</v>
      </c>
      <c r="F1383" s="317">
        <f t="shared" si="10"/>
        <v>1.7827155035636482</v>
      </c>
      <c r="G1383" s="318">
        <v>560.94200000000001</v>
      </c>
      <c r="H1383" s="403" t="s">
        <v>152</v>
      </c>
      <c r="I1383" s="404" t="s">
        <v>2425</v>
      </c>
      <c r="J1383" s="179" t="s">
        <v>97</v>
      </c>
      <c r="K1383" s="127" t="s">
        <v>1903</v>
      </c>
      <c r="L1383" s="179" t="s">
        <v>154</v>
      </c>
      <c r="M1383" s="127"/>
      <c r="N1383" s="127"/>
    </row>
    <row r="1384" spans="1:14" ht="15.6" hidden="1">
      <c r="A1384" s="378">
        <v>45874</v>
      </c>
      <c r="B1384" s="179" t="s">
        <v>2430</v>
      </c>
      <c r="C1384" s="179" t="s">
        <v>173</v>
      </c>
      <c r="D1384" s="179" t="s">
        <v>117</v>
      </c>
      <c r="E1384" s="332">
        <v>1000</v>
      </c>
      <c r="F1384" s="317">
        <f t="shared" si="10"/>
        <v>1.7827155035636482</v>
      </c>
      <c r="G1384" s="318">
        <v>560.94200000000001</v>
      </c>
      <c r="H1384" s="179" t="s">
        <v>583</v>
      </c>
      <c r="I1384" s="179" t="s">
        <v>2464</v>
      </c>
      <c r="J1384" s="179" t="s">
        <v>97</v>
      </c>
      <c r="K1384" s="127" t="s">
        <v>1903</v>
      </c>
      <c r="L1384" s="179" t="s">
        <v>154</v>
      </c>
      <c r="M1384" s="127"/>
      <c r="N1384" s="127"/>
    </row>
    <row r="1385" spans="1:14" ht="15.6" hidden="1">
      <c r="A1385" s="378">
        <v>45874</v>
      </c>
      <c r="B1385" s="179" t="s">
        <v>2431</v>
      </c>
      <c r="C1385" s="179" t="s">
        <v>173</v>
      </c>
      <c r="D1385" s="179" t="s">
        <v>117</v>
      </c>
      <c r="E1385" s="332">
        <v>1000</v>
      </c>
      <c r="F1385" s="317">
        <f t="shared" si="10"/>
        <v>1.7827155035636482</v>
      </c>
      <c r="G1385" s="318">
        <v>560.94200000000001</v>
      </c>
      <c r="H1385" s="179" t="s">
        <v>583</v>
      </c>
      <c r="I1385" s="179" t="s">
        <v>2464</v>
      </c>
      <c r="J1385" s="179" t="s">
        <v>97</v>
      </c>
      <c r="K1385" s="127" t="s">
        <v>1903</v>
      </c>
      <c r="L1385" s="179" t="s">
        <v>154</v>
      </c>
      <c r="M1385" s="127"/>
      <c r="N1385" s="127"/>
    </row>
    <row r="1386" spans="1:14" ht="15.6" hidden="1">
      <c r="A1386" s="372">
        <v>45875</v>
      </c>
      <c r="B1386" s="396" t="s">
        <v>2100</v>
      </c>
      <c r="C1386" s="303" t="s">
        <v>173</v>
      </c>
      <c r="D1386" s="303" t="s">
        <v>118</v>
      </c>
      <c r="E1386" s="396">
        <v>1000</v>
      </c>
      <c r="F1386" s="317">
        <f t="shared" si="10"/>
        <v>1.7827155035636482</v>
      </c>
      <c r="G1386" s="318">
        <v>560.94200000000001</v>
      </c>
      <c r="H1386" s="403" t="s">
        <v>152</v>
      </c>
      <c r="I1386" s="404" t="s">
        <v>2425</v>
      </c>
      <c r="J1386" s="179" t="s">
        <v>97</v>
      </c>
      <c r="K1386" s="127" t="s">
        <v>1903</v>
      </c>
      <c r="L1386" s="179" t="s">
        <v>154</v>
      </c>
      <c r="M1386" s="145"/>
      <c r="N1386" s="145"/>
    </row>
    <row r="1387" spans="1:14" ht="15.6" hidden="1">
      <c r="A1387" s="372">
        <v>45875</v>
      </c>
      <c r="B1387" s="396" t="s">
        <v>2101</v>
      </c>
      <c r="C1387" s="303" t="s">
        <v>173</v>
      </c>
      <c r="D1387" s="303" t="s">
        <v>118</v>
      </c>
      <c r="E1387" s="396">
        <v>1000</v>
      </c>
      <c r="F1387" s="317">
        <f t="shared" si="10"/>
        <v>1.7827155035636482</v>
      </c>
      <c r="G1387" s="318">
        <v>560.94200000000001</v>
      </c>
      <c r="H1387" s="403" t="s">
        <v>152</v>
      </c>
      <c r="I1387" s="404" t="s">
        <v>2425</v>
      </c>
      <c r="J1387" s="179" t="s">
        <v>97</v>
      </c>
      <c r="K1387" s="127" t="s">
        <v>1903</v>
      </c>
      <c r="L1387" s="179" t="s">
        <v>154</v>
      </c>
      <c r="M1387" s="127"/>
      <c r="N1387" s="127"/>
    </row>
    <row r="1388" spans="1:14" ht="15.6" hidden="1">
      <c r="A1388" s="378">
        <v>45875</v>
      </c>
      <c r="B1388" s="179" t="s">
        <v>2430</v>
      </c>
      <c r="C1388" s="179" t="s">
        <v>173</v>
      </c>
      <c r="D1388" s="179" t="s">
        <v>117</v>
      </c>
      <c r="E1388" s="332">
        <v>1000</v>
      </c>
      <c r="F1388" s="317">
        <f t="shared" si="10"/>
        <v>1.7827155035636482</v>
      </c>
      <c r="G1388" s="318">
        <v>560.94200000000001</v>
      </c>
      <c r="H1388" s="179" t="s">
        <v>583</v>
      </c>
      <c r="I1388" s="179" t="s">
        <v>2464</v>
      </c>
      <c r="J1388" s="179" t="s">
        <v>97</v>
      </c>
      <c r="K1388" s="127" t="s">
        <v>1903</v>
      </c>
      <c r="L1388" s="179" t="s">
        <v>154</v>
      </c>
      <c r="M1388" s="127"/>
      <c r="N1388" s="127"/>
    </row>
    <row r="1389" spans="1:14" ht="15.6" hidden="1">
      <c r="A1389" s="378">
        <v>45875</v>
      </c>
      <c r="B1389" s="179" t="s">
        <v>2431</v>
      </c>
      <c r="C1389" s="179" t="s">
        <v>173</v>
      </c>
      <c r="D1389" s="179" t="s">
        <v>117</v>
      </c>
      <c r="E1389" s="332">
        <v>1000</v>
      </c>
      <c r="F1389" s="317">
        <f t="shared" si="10"/>
        <v>1.7827155035636482</v>
      </c>
      <c r="G1389" s="318">
        <v>560.94200000000001</v>
      </c>
      <c r="H1389" s="179" t="s">
        <v>583</v>
      </c>
      <c r="I1389" s="179" t="s">
        <v>2464</v>
      </c>
      <c r="J1389" s="179" t="s">
        <v>97</v>
      </c>
      <c r="K1389" s="127" t="s">
        <v>1903</v>
      </c>
      <c r="L1389" s="179" t="s">
        <v>154</v>
      </c>
      <c r="M1389" s="127"/>
      <c r="N1389" s="127"/>
    </row>
    <row r="1390" spans="1:14" ht="15.6" hidden="1">
      <c r="A1390" s="372">
        <v>45876</v>
      </c>
      <c r="B1390" s="396" t="s">
        <v>2103</v>
      </c>
      <c r="C1390" s="303" t="s">
        <v>173</v>
      </c>
      <c r="D1390" s="303" t="s">
        <v>118</v>
      </c>
      <c r="E1390" s="396">
        <v>1000</v>
      </c>
      <c r="F1390" s="317">
        <f t="shared" si="10"/>
        <v>1.7827155035636482</v>
      </c>
      <c r="G1390" s="318">
        <v>560.94200000000001</v>
      </c>
      <c r="H1390" s="403" t="s">
        <v>152</v>
      </c>
      <c r="I1390" s="404" t="s">
        <v>2425</v>
      </c>
      <c r="J1390" s="179" t="s">
        <v>97</v>
      </c>
      <c r="K1390" s="127" t="s">
        <v>1903</v>
      </c>
      <c r="L1390" s="179" t="s">
        <v>154</v>
      </c>
      <c r="M1390" s="127"/>
      <c r="N1390" s="127"/>
    </row>
    <row r="1391" spans="1:14" ht="15.6" hidden="1">
      <c r="A1391" s="372">
        <v>45876</v>
      </c>
      <c r="B1391" s="396" t="s">
        <v>2101</v>
      </c>
      <c r="C1391" s="303" t="s">
        <v>173</v>
      </c>
      <c r="D1391" s="303" t="s">
        <v>118</v>
      </c>
      <c r="E1391" s="396">
        <v>1000</v>
      </c>
      <c r="F1391" s="317">
        <f t="shared" si="10"/>
        <v>1.7827155035636482</v>
      </c>
      <c r="G1391" s="318">
        <v>560.94200000000001</v>
      </c>
      <c r="H1391" s="403" t="s">
        <v>152</v>
      </c>
      <c r="I1391" s="404" t="s">
        <v>2425</v>
      </c>
      <c r="J1391" s="179" t="s">
        <v>97</v>
      </c>
      <c r="K1391" s="127" t="s">
        <v>1903</v>
      </c>
      <c r="L1391" s="179" t="s">
        <v>154</v>
      </c>
      <c r="M1391" s="127"/>
      <c r="N1391" s="127"/>
    </row>
    <row r="1392" spans="1:14" ht="15.6" hidden="1">
      <c r="A1392" s="372">
        <v>45876</v>
      </c>
      <c r="B1392" s="396" t="s">
        <v>2385</v>
      </c>
      <c r="C1392" s="303" t="s">
        <v>126</v>
      </c>
      <c r="D1392" s="303" t="s">
        <v>118</v>
      </c>
      <c r="E1392" s="396">
        <v>174625</v>
      </c>
      <c r="F1392" s="317">
        <f t="shared" si="10"/>
        <v>311.30669480980208</v>
      </c>
      <c r="G1392" s="318">
        <v>560.94200000000001</v>
      </c>
      <c r="H1392" s="403" t="s">
        <v>152</v>
      </c>
      <c r="I1392" s="404" t="s">
        <v>2426</v>
      </c>
      <c r="J1392" s="179" t="s">
        <v>97</v>
      </c>
      <c r="K1392" s="127" t="s">
        <v>1903</v>
      </c>
      <c r="L1392" s="179" t="s">
        <v>154</v>
      </c>
      <c r="M1392" s="127"/>
      <c r="N1392" s="127"/>
    </row>
    <row r="1393" spans="1:14" ht="15.6" hidden="1">
      <c r="A1393" s="378">
        <v>45876</v>
      </c>
      <c r="B1393" s="179" t="s">
        <v>2432</v>
      </c>
      <c r="C1393" s="179" t="s">
        <v>173</v>
      </c>
      <c r="D1393" s="179" t="s">
        <v>117</v>
      </c>
      <c r="E1393" s="332">
        <v>1000</v>
      </c>
      <c r="F1393" s="317">
        <f t="shared" si="10"/>
        <v>1.7827155035636482</v>
      </c>
      <c r="G1393" s="318">
        <v>560.94200000000001</v>
      </c>
      <c r="H1393" s="179" t="s">
        <v>583</v>
      </c>
      <c r="I1393" s="179" t="s">
        <v>2464</v>
      </c>
      <c r="J1393" s="179" t="s">
        <v>97</v>
      </c>
      <c r="K1393" s="127" t="s">
        <v>1903</v>
      </c>
      <c r="L1393" s="179" t="s">
        <v>154</v>
      </c>
      <c r="M1393" s="127"/>
      <c r="N1393" s="127"/>
    </row>
    <row r="1394" spans="1:14" ht="15.6" hidden="1">
      <c r="A1394" s="378">
        <v>45876</v>
      </c>
      <c r="B1394" s="179" t="s">
        <v>2433</v>
      </c>
      <c r="C1394" s="179" t="s">
        <v>173</v>
      </c>
      <c r="D1394" s="179" t="s">
        <v>117</v>
      </c>
      <c r="E1394" s="332">
        <v>1000</v>
      </c>
      <c r="F1394" s="317">
        <f t="shared" si="10"/>
        <v>1.7827155035636482</v>
      </c>
      <c r="G1394" s="318">
        <v>560.94200000000001</v>
      </c>
      <c r="H1394" s="179" t="s">
        <v>583</v>
      </c>
      <c r="I1394" s="179" t="s">
        <v>2464</v>
      </c>
      <c r="J1394" s="179" t="s">
        <v>97</v>
      </c>
      <c r="K1394" s="127" t="s">
        <v>1903</v>
      </c>
      <c r="L1394" s="179" t="s">
        <v>154</v>
      </c>
      <c r="M1394" s="127"/>
      <c r="N1394" s="127"/>
    </row>
    <row r="1395" spans="1:14" ht="15.6" hidden="1">
      <c r="A1395" s="378">
        <v>45876</v>
      </c>
      <c r="B1395" s="179" t="s">
        <v>2434</v>
      </c>
      <c r="C1395" s="179" t="s">
        <v>173</v>
      </c>
      <c r="D1395" s="179" t="s">
        <v>117</v>
      </c>
      <c r="E1395" s="332">
        <v>1000</v>
      </c>
      <c r="F1395" s="317">
        <f t="shared" si="10"/>
        <v>1.7827155035636482</v>
      </c>
      <c r="G1395" s="318">
        <v>560.94200000000001</v>
      </c>
      <c r="H1395" s="179" t="s">
        <v>583</v>
      </c>
      <c r="I1395" s="179" t="s">
        <v>2464</v>
      </c>
      <c r="J1395" s="179" t="s">
        <v>97</v>
      </c>
      <c r="K1395" s="127" t="s">
        <v>1903</v>
      </c>
      <c r="L1395" s="179" t="s">
        <v>154</v>
      </c>
      <c r="M1395" s="127"/>
      <c r="N1395" s="127"/>
    </row>
    <row r="1396" spans="1:14" ht="15.6" hidden="1">
      <c r="A1396" s="378">
        <v>45876</v>
      </c>
      <c r="B1396" s="179" t="s">
        <v>2435</v>
      </c>
      <c r="C1396" s="179" t="s">
        <v>173</v>
      </c>
      <c r="D1396" s="179" t="s">
        <v>117</v>
      </c>
      <c r="E1396" s="332">
        <v>1000</v>
      </c>
      <c r="F1396" s="317">
        <f t="shared" si="10"/>
        <v>1.7827155035636482</v>
      </c>
      <c r="G1396" s="318">
        <v>560.94200000000001</v>
      </c>
      <c r="H1396" s="179" t="s">
        <v>583</v>
      </c>
      <c r="I1396" s="179" t="s">
        <v>2464</v>
      </c>
      <c r="J1396" s="179" t="s">
        <v>97</v>
      </c>
      <c r="K1396" s="127" t="s">
        <v>1903</v>
      </c>
      <c r="L1396" s="179" t="s">
        <v>154</v>
      </c>
      <c r="M1396" s="325"/>
      <c r="N1396" s="325"/>
    </row>
    <row r="1397" spans="1:14" ht="15.6" hidden="1">
      <c r="A1397" s="354">
        <v>45876</v>
      </c>
      <c r="B1397" s="174" t="s">
        <v>2467</v>
      </c>
      <c r="C1397" s="174" t="s">
        <v>151</v>
      </c>
      <c r="D1397" s="179" t="s">
        <v>442</v>
      </c>
      <c r="E1397" s="174">
        <v>5000</v>
      </c>
      <c r="F1397" s="317">
        <f t="shared" si="10"/>
        <v>8.9135775178182417</v>
      </c>
      <c r="G1397" s="318">
        <v>560.94200000000001</v>
      </c>
      <c r="H1397" s="174" t="s">
        <v>183</v>
      </c>
      <c r="I1397" s="174" t="s">
        <v>2472</v>
      </c>
      <c r="J1397" s="179" t="s">
        <v>97</v>
      </c>
      <c r="K1397" s="127" t="s">
        <v>1903</v>
      </c>
      <c r="L1397" s="179" t="s">
        <v>154</v>
      </c>
      <c r="M1397" s="127"/>
      <c r="N1397" s="127"/>
    </row>
    <row r="1398" spans="1:14" ht="15.6" hidden="1">
      <c r="A1398" s="379">
        <v>45876</v>
      </c>
      <c r="B1398" s="174" t="s">
        <v>2488</v>
      </c>
      <c r="C1398" s="174" t="s">
        <v>151</v>
      </c>
      <c r="D1398" s="179" t="s">
        <v>442</v>
      </c>
      <c r="E1398" s="179">
        <v>5000</v>
      </c>
      <c r="F1398" s="317">
        <f t="shared" si="10"/>
        <v>8.9135775178182417</v>
      </c>
      <c r="G1398" s="318">
        <v>560.94200000000001</v>
      </c>
      <c r="H1398" s="179" t="s">
        <v>174</v>
      </c>
      <c r="I1398" s="179" t="s">
        <v>2493</v>
      </c>
      <c r="J1398" s="179" t="s">
        <v>97</v>
      </c>
      <c r="K1398" s="127" t="s">
        <v>1903</v>
      </c>
      <c r="L1398" s="179" t="s">
        <v>154</v>
      </c>
      <c r="M1398" s="76"/>
      <c r="N1398" s="76"/>
    </row>
    <row r="1399" spans="1:14" ht="15.6" hidden="1">
      <c r="A1399" s="376">
        <v>45876</v>
      </c>
      <c r="B1399" s="179" t="s">
        <v>2507</v>
      </c>
      <c r="C1399" s="179" t="s">
        <v>151</v>
      </c>
      <c r="D1399" s="179" t="s">
        <v>442</v>
      </c>
      <c r="E1399" s="179">
        <v>5000</v>
      </c>
      <c r="F1399" s="317">
        <f t="shared" si="10"/>
        <v>8.9135775178182417</v>
      </c>
      <c r="G1399" s="318">
        <v>560.94200000000001</v>
      </c>
      <c r="H1399" s="179" t="s">
        <v>316</v>
      </c>
      <c r="I1399" s="179" t="s">
        <v>2522</v>
      </c>
      <c r="J1399" s="179" t="s">
        <v>97</v>
      </c>
      <c r="K1399" s="127" t="s">
        <v>1903</v>
      </c>
      <c r="L1399" s="179" t="s">
        <v>154</v>
      </c>
      <c r="M1399" s="76"/>
      <c r="N1399" s="76"/>
    </row>
    <row r="1400" spans="1:14" ht="15.6" hidden="1">
      <c r="A1400" s="376">
        <v>45876</v>
      </c>
      <c r="B1400" s="179" t="s">
        <v>2535</v>
      </c>
      <c r="C1400" s="179" t="s">
        <v>151</v>
      </c>
      <c r="D1400" s="179" t="s">
        <v>442</v>
      </c>
      <c r="E1400" s="369">
        <v>5000</v>
      </c>
      <c r="F1400" s="317">
        <f t="shared" si="10"/>
        <v>8.9135775178182417</v>
      </c>
      <c r="G1400" s="318">
        <v>560.94200000000001</v>
      </c>
      <c r="H1400" s="179" t="s">
        <v>322</v>
      </c>
      <c r="I1400" s="179" t="s">
        <v>2571</v>
      </c>
      <c r="J1400" s="179" t="s">
        <v>97</v>
      </c>
      <c r="K1400" s="127" t="s">
        <v>1903</v>
      </c>
      <c r="L1400" s="179" t="s">
        <v>154</v>
      </c>
      <c r="M1400" s="76"/>
      <c r="N1400" s="76"/>
    </row>
    <row r="1401" spans="1:14" ht="15.6" hidden="1">
      <c r="A1401" s="385">
        <v>45876</v>
      </c>
      <c r="B1401" s="179" t="s">
        <v>2763</v>
      </c>
      <c r="C1401" s="179" t="s">
        <v>303</v>
      </c>
      <c r="D1401" s="336" t="s">
        <v>117</v>
      </c>
      <c r="E1401" s="332">
        <v>260000</v>
      </c>
      <c r="F1401" s="317">
        <f t="shared" si="10"/>
        <v>463.50603092654853</v>
      </c>
      <c r="G1401" s="318">
        <v>560.94200000000001</v>
      </c>
      <c r="H1401" s="179" t="s">
        <v>147</v>
      </c>
      <c r="I1401" s="179" t="s">
        <v>2784</v>
      </c>
      <c r="J1401" s="179" t="s">
        <v>97</v>
      </c>
      <c r="K1401" s="127" t="s">
        <v>1903</v>
      </c>
      <c r="L1401" s="179" t="s">
        <v>154</v>
      </c>
      <c r="M1401" s="76"/>
      <c r="N1401" s="76"/>
    </row>
    <row r="1402" spans="1:14" ht="15.6" hidden="1">
      <c r="A1402" s="372">
        <v>45877</v>
      </c>
      <c r="B1402" s="396" t="s">
        <v>2100</v>
      </c>
      <c r="C1402" s="303" t="s">
        <v>173</v>
      </c>
      <c r="D1402" s="303" t="s">
        <v>118</v>
      </c>
      <c r="E1402" s="396">
        <v>1000</v>
      </c>
      <c r="F1402" s="317">
        <f t="shared" si="10"/>
        <v>1.7827155035636482</v>
      </c>
      <c r="G1402" s="318">
        <v>560.94200000000001</v>
      </c>
      <c r="H1402" s="403" t="s">
        <v>152</v>
      </c>
      <c r="I1402" s="404" t="s">
        <v>2425</v>
      </c>
      <c r="J1402" s="179" t="s">
        <v>97</v>
      </c>
      <c r="K1402" s="127" t="s">
        <v>1903</v>
      </c>
      <c r="L1402" s="179" t="s">
        <v>154</v>
      </c>
      <c r="M1402" s="127"/>
      <c r="N1402" s="127"/>
    </row>
    <row r="1403" spans="1:14" ht="15.6" hidden="1">
      <c r="A1403" s="372">
        <v>45877</v>
      </c>
      <c r="B1403" s="396" t="s">
        <v>2101</v>
      </c>
      <c r="C1403" s="303" t="s">
        <v>173</v>
      </c>
      <c r="D1403" s="303" t="s">
        <v>118</v>
      </c>
      <c r="E1403" s="396">
        <v>1000</v>
      </c>
      <c r="F1403" s="317">
        <f t="shared" si="10"/>
        <v>1.7827155035636482</v>
      </c>
      <c r="G1403" s="318">
        <v>560.94200000000001</v>
      </c>
      <c r="H1403" s="403" t="s">
        <v>152</v>
      </c>
      <c r="I1403" s="404" t="s">
        <v>2425</v>
      </c>
      <c r="J1403" s="179" t="s">
        <v>97</v>
      </c>
      <c r="K1403" s="127" t="s">
        <v>1903</v>
      </c>
      <c r="L1403" s="179" t="s">
        <v>154</v>
      </c>
      <c r="M1403" s="127"/>
      <c r="N1403" s="127"/>
    </row>
    <row r="1404" spans="1:14" ht="15.6" hidden="1">
      <c r="A1404" s="378">
        <v>45877</v>
      </c>
      <c r="B1404" s="179" t="s">
        <v>2430</v>
      </c>
      <c r="C1404" s="179" t="s">
        <v>173</v>
      </c>
      <c r="D1404" s="179" t="s">
        <v>117</v>
      </c>
      <c r="E1404" s="332">
        <v>1000</v>
      </c>
      <c r="F1404" s="317">
        <f t="shared" si="10"/>
        <v>1.7827155035636482</v>
      </c>
      <c r="G1404" s="318">
        <v>560.94200000000001</v>
      </c>
      <c r="H1404" s="179" t="s">
        <v>583</v>
      </c>
      <c r="I1404" s="179" t="s">
        <v>2464</v>
      </c>
      <c r="J1404" s="179" t="s">
        <v>97</v>
      </c>
      <c r="K1404" s="127" t="s">
        <v>1903</v>
      </c>
      <c r="L1404" s="179" t="s">
        <v>154</v>
      </c>
      <c r="M1404" s="127"/>
      <c r="N1404" s="127"/>
    </row>
    <row r="1405" spans="1:14" ht="15.6" hidden="1">
      <c r="A1405" s="378">
        <v>45877</v>
      </c>
      <c r="B1405" s="179" t="s">
        <v>2431</v>
      </c>
      <c r="C1405" s="179" t="s">
        <v>173</v>
      </c>
      <c r="D1405" s="179" t="s">
        <v>117</v>
      </c>
      <c r="E1405" s="332">
        <v>1500</v>
      </c>
      <c r="F1405" s="317">
        <f t="shared" si="10"/>
        <v>2.6740732553454722</v>
      </c>
      <c r="G1405" s="318">
        <v>560.94200000000001</v>
      </c>
      <c r="H1405" s="179" t="s">
        <v>583</v>
      </c>
      <c r="I1405" s="179" t="s">
        <v>2464</v>
      </c>
      <c r="J1405" s="179" t="s">
        <v>97</v>
      </c>
      <c r="K1405" s="127" t="s">
        <v>1903</v>
      </c>
      <c r="L1405" s="179" t="s">
        <v>154</v>
      </c>
      <c r="M1405" s="127"/>
      <c r="N1405" s="127"/>
    </row>
    <row r="1406" spans="1:14" ht="15.6" hidden="1">
      <c r="A1406" s="372">
        <v>45880</v>
      </c>
      <c r="B1406" s="396" t="s">
        <v>2100</v>
      </c>
      <c r="C1406" s="303" t="s">
        <v>173</v>
      </c>
      <c r="D1406" s="303" t="s">
        <v>118</v>
      </c>
      <c r="E1406" s="396">
        <v>1000</v>
      </c>
      <c r="F1406" s="317">
        <f t="shared" ref="F1406:F1437" si="11">E1406/G1406</f>
        <v>1.7827155035636482</v>
      </c>
      <c r="G1406" s="318">
        <v>560.94200000000001</v>
      </c>
      <c r="H1406" s="403" t="s">
        <v>152</v>
      </c>
      <c r="I1406" s="404" t="s">
        <v>2425</v>
      </c>
      <c r="J1406" s="179" t="s">
        <v>97</v>
      </c>
      <c r="K1406" s="127" t="s">
        <v>1903</v>
      </c>
      <c r="L1406" s="179" t="s">
        <v>154</v>
      </c>
      <c r="M1406" s="127"/>
      <c r="N1406" s="127"/>
    </row>
    <row r="1407" spans="1:14" ht="15.6" hidden="1">
      <c r="A1407" s="372">
        <v>45880</v>
      </c>
      <c r="B1407" s="396" t="s">
        <v>2101</v>
      </c>
      <c r="C1407" s="303" t="s">
        <v>173</v>
      </c>
      <c r="D1407" s="303" t="s">
        <v>118</v>
      </c>
      <c r="E1407" s="396">
        <v>1000</v>
      </c>
      <c r="F1407" s="317">
        <f t="shared" si="11"/>
        <v>1.7827155035636482</v>
      </c>
      <c r="G1407" s="318">
        <v>560.94200000000001</v>
      </c>
      <c r="H1407" s="403" t="s">
        <v>152</v>
      </c>
      <c r="I1407" s="404" t="s">
        <v>2425</v>
      </c>
      <c r="J1407" s="179" t="s">
        <v>97</v>
      </c>
      <c r="K1407" s="127" t="s">
        <v>1903</v>
      </c>
      <c r="L1407" s="179" t="s">
        <v>154</v>
      </c>
      <c r="M1407" s="127"/>
      <c r="N1407" s="127"/>
    </row>
    <row r="1408" spans="1:14" ht="15.6" hidden="1">
      <c r="A1408" s="378">
        <v>45880</v>
      </c>
      <c r="B1408" s="179" t="s">
        <v>2430</v>
      </c>
      <c r="C1408" s="179" t="s">
        <v>173</v>
      </c>
      <c r="D1408" s="179" t="s">
        <v>117</v>
      </c>
      <c r="E1408" s="332">
        <v>1500</v>
      </c>
      <c r="F1408" s="317">
        <f t="shared" si="11"/>
        <v>2.6740732553454722</v>
      </c>
      <c r="G1408" s="318">
        <v>560.94200000000001</v>
      </c>
      <c r="H1408" s="179" t="s">
        <v>583</v>
      </c>
      <c r="I1408" s="179" t="s">
        <v>2464</v>
      </c>
      <c r="J1408" s="179" t="s">
        <v>97</v>
      </c>
      <c r="K1408" s="127" t="s">
        <v>1903</v>
      </c>
      <c r="L1408" s="179" t="s">
        <v>154</v>
      </c>
      <c r="M1408" s="127"/>
      <c r="N1408" s="127"/>
    </row>
    <row r="1409" spans="1:14" ht="15.6" hidden="1">
      <c r="A1409" s="378">
        <v>45880</v>
      </c>
      <c r="B1409" s="179" t="s">
        <v>2431</v>
      </c>
      <c r="C1409" s="179" t="s">
        <v>173</v>
      </c>
      <c r="D1409" s="179" t="s">
        <v>117</v>
      </c>
      <c r="E1409" s="332">
        <v>2000</v>
      </c>
      <c r="F1409" s="317">
        <f t="shared" si="11"/>
        <v>3.5654310071272963</v>
      </c>
      <c r="G1409" s="318">
        <v>560.94200000000001</v>
      </c>
      <c r="H1409" s="179" t="s">
        <v>583</v>
      </c>
      <c r="I1409" s="179" t="s">
        <v>2464</v>
      </c>
      <c r="J1409" s="179" t="s">
        <v>97</v>
      </c>
      <c r="K1409" s="127" t="s">
        <v>1903</v>
      </c>
      <c r="L1409" s="179" t="s">
        <v>154</v>
      </c>
      <c r="M1409" s="127"/>
      <c r="N1409" s="127"/>
    </row>
    <row r="1410" spans="1:14" ht="15.6" hidden="1">
      <c r="A1410" s="241">
        <v>45880</v>
      </c>
      <c r="B1410" s="174" t="s">
        <v>3778</v>
      </c>
      <c r="C1410" s="174" t="s">
        <v>173</v>
      </c>
      <c r="D1410" s="179" t="s">
        <v>442</v>
      </c>
      <c r="E1410" s="174">
        <v>1000</v>
      </c>
      <c r="F1410" s="317">
        <f t="shared" si="11"/>
        <v>1.7827155035636482</v>
      </c>
      <c r="G1410" s="318">
        <v>560.94200000000001</v>
      </c>
      <c r="H1410" s="174" t="s">
        <v>183</v>
      </c>
      <c r="I1410" s="174" t="s">
        <v>2473</v>
      </c>
      <c r="J1410" s="179" t="s">
        <v>97</v>
      </c>
      <c r="K1410" s="127" t="s">
        <v>1903</v>
      </c>
      <c r="L1410" s="179" t="s">
        <v>154</v>
      </c>
      <c r="M1410" s="127"/>
      <c r="N1410" s="127"/>
    </row>
    <row r="1411" spans="1:14" ht="15.6" hidden="1">
      <c r="A1411" s="241">
        <v>45880</v>
      </c>
      <c r="B1411" s="174" t="s">
        <v>3779</v>
      </c>
      <c r="C1411" s="174" t="s">
        <v>173</v>
      </c>
      <c r="D1411" s="179" t="s">
        <v>442</v>
      </c>
      <c r="E1411" s="174">
        <v>1000</v>
      </c>
      <c r="F1411" s="317">
        <f t="shared" si="11"/>
        <v>1.7827155035636482</v>
      </c>
      <c r="G1411" s="318">
        <v>560.94200000000001</v>
      </c>
      <c r="H1411" s="174" t="s">
        <v>183</v>
      </c>
      <c r="I1411" s="174" t="s">
        <v>2473</v>
      </c>
      <c r="J1411" s="179" t="s">
        <v>97</v>
      </c>
      <c r="K1411" s="127" t="s">
        <v>1903</v>
      </c>
      <c r="L1411" s="179" t="s">
        <v>154</v>
      </c>
      <c r="M1411" s="127"/>
      <c r="N1411" s="127"/>
    </row>
    <row r="1412" spans="1:14" ht="15.6" hidden="1">
      <c r="A1412" s="241">
        <v>45880</v>
      </c>
      <c r="B1412" s="174" t="s">
        <v>3779</v>
      </c>
      <c r="C1412" s="174" t="s">
        <v>173</v>
      </c>
      <c r="D1412" s="179" t="s">
        <v>442</v>
      </c>
      <c r="E1412" s="174">
        <v>1000</v>
      </c>
      <c r="F1412" s="317">
        <f t="shared" si="11"/>
        <v>1.7827155035636482</v>
      </c>
      <c r="G1412" s="318">
        <v>560.94200000000001</v>
      </c>
      <c r="H1412" s="174" t="s">
        <v>183</v>
      </c>
      <c r="I1412" s="174" t="s">
        <v>2473</v>
      </c>
      <c r="J1412" s="179" t="s">
        <v>97</v>
      </c>
      <c r="K1412" s="127" t="s">
        <v>1903</v>
      </c>
      <c r="L1412" s="179" t="s">
        <v>154</v>
      </c>
      <c r="M1412" s="127"/>
      <c r="N1412" s="127"/>
    </row>
    <row r="1413" spans="1:14" ht="15.6" hidden="1">
      <c r="A1413" s="241">
        <v>45880</v>
      </c>
      <c r="B1413" s="174" t="s">
        <v>3780</v>
      </c>
      <c r="C1413" s="174" t="s">
        <v>173</v>
      </c>
      <c r="D1413" s="179" t="s">
        <v>442</v>
      </c>
      <c r="E1413" s="174">
        <v>1500</v>
      </c>
      <c r="F1413" s="317">
        <f t="shared" si="11"/>
        <v>2.6740732553454722</v>
      </c>
      <c r="G1413" s="318">
        <v>560.94200000000001</v>
      </c>
      <c r="H1413" s="174" t="s">
        <v>183</v>
      </c>
      <c r="I1413" s="174" t="s">
        <v>2473</v>
      </c>
      <c r="J1413" s="179" t="s">
        <v>97</v>
      </c>
      <c r="K1413" s="127" t="s">
        <v>1903</v>
      </c>
      <c r="L1413" s="179" t="s">
        <v>154</v>
      </c>
      <c r="M1413" s="127"/>
      <c r="N1413" s="127"/>
    </row>
    <row r="1414" spans="1:14" ht="15.6" hidden="1">
      <c r="A1414" s="241">
        <v>45880</v>
      </c>
      <c r="B1414" s="174" t="s">
        <v>2469</v>
      </c>
      <c r="C1414" s="174" t="s">
        <v>368</v>
      </c>
      <c r="D1414" s="179" t="s">
        <v>442</v>
      </c>
      <c r="E1414" s="174">
        <v>1000</v>
      </c>
      <c r="F1414" s="317">
        <f t="shared" si="11"/>
        <v>1.7827155035636482</v>
      </c>
      <c r="G1414" s="318">
        <v>560.94200000000001</v>
      </c>
      <c r="H1414" s="174" t="s">
        <v>183</v>
      </c>
      <c r="I1414" s="174" t="s">
        <v>2474</v>
      </c>
      <c r="J1414" s="179" t="s">
        <v>97</v>
      </c>
      <c r="K1414" s="127" t="s">
        <v>1903</v>
      </c>
      <c r="L1414" s="179" t="s">
        <v>154</v>
      </c>
      <c r="M1414" s="127"/>
      <c r="N1414" s="127"/>
    </row>
    <row r="1415" spans="1:14" ht="15.6" hidden="1">
      <c r="A1415" s="379">
        <v>45880</v>
      </c>
      <c r="B1415" s="179" t="s">
        <v>3889</v>
      </c>
      <c r="C1415" s="179" t="s">
        <v>173</v>
      </c>
      <c r="D1415" s="179" t="s">
        <v>442</v>
      </c>
      <c r="E1415" s="179">
        <v>1000</v>
      </c>
      <c r="F1415" s="317">
        <f t="shared" si="11"/>
        <v>1.7827155035636482</v>
      </c>
      <c r="G1415" s="318">
        <v>560.94200000000001</v>
      </c>
      <c r="H1415" s="179" t="s">
        <v>174</v>
      </c>
      <c r="I1415" s="179" t="s">
        <v>2494</v>
      </c>
      <c r="J1415" s="179" t="s">
        <v>97</v>
      </c>
      <c r="K1415" s="127" t="s">
        <v>1903</v>
      </c>
      <c r="L1415" s="179" t="s">
        <v>154</v>
      </c>
      <c r="M1415" s="76"/>
      <c r="N1415" s="76"/>
    </row>
    <row r="1416" spans="1:14" ht="15.6" hidden="1">
      <c r="A1416" s="379">
        <v>45880</v>
      </c>
      <c r="B1416" s="179" t="s">
        <v>3889</v>
      </c>
      <c r="C1416" s="179" t="s">
        <v>173</v>
      </c>
      <c r="D1416" s="179" t="s">
        <v>442</v>
      </c>
      <c r="E1416" s="179">
        <v>1000</v>
      </c>
      <c r="F1416" s="317">
        <f t="shared" si="11"/>
        <v>1.7827155035636482</v>
      </c>
      <c r="G1416" s="318">
        <v>560.94200000000001</v>
      </c>
      <c r="H1416" s="179" t="s">
        <v>174</v>
      </c>
      <c r="I1416" s="179" t="s">
        <v>2494</v>
      </c>
      <c r="J1416" s="179" t="s">
        <v>97</v>
      </c>
      <c r="K1416" s="127" t="s">
        <v>1903</v>
      </c>
      <c r="L1416" s="179" t="s">
        <v>154</v>
      </c>
      <c r="M1416" s="76"/>
      <c r="N1416" s="76"/>
    </row>
    <row r="1417" spans="1:14" ht="15.6" hidden="1">
      <c r="A1417" s="379">
        <v>45880</v>
      </c>
      <c r="B1417" s="179" t="s">
        <v>3890</v>
      </c>
      <c r="C1417" s="179" t="s">
        <v>173</v>
      </c>
      <c r="D1417" s="179" t="s">
        <v>442</v>
      </c>
      <c r="E1417" s="179">
        <v>1000</v>
      </c>
      <c r="F1417" s="317">
        <f t="shared" si="11"/>
        <v>1.7827155035636482</v>
      </c>
      <c r="G1417" s="318">
        <v>560.94200000000001</v>
      </c>
      <c r="H1417" s="179" t="s">
        <v>174</v>
      </c>
      <c r="I1417" s="179" t="s">
        <v>2494</v>
      </c>
      <c r="J1417" s="179" t="s">
        <v>97</v>
      </c>
      <c r="K1417" s="127" t="s">
        <v>1903</v>
      </c>
      <c r="L1417" s="179" t="s">
        <v>154</v>
      </c>
      <c r="M1417" s="76"/>
      <c r="N1417" s="76"/>
    </row>
    <row r="1418" spans="1:14" ht="15.6" hidden="1">
      <c r="A1418" s="376">
        <v>45880</v>
      </c>
      <c r="B1418" s="179" t="s">
        <v>2508</v>
      </c>
      <c r="C1418" s="179" t="s">
        <v>173</v>
      </c>
      <c r="D1418" s="179" t="s">
        <v>442</v>
      </c>
      <c r="E1418" s="179">
        <v>1000</v>
      </c>
      <c r="F1418" s="317">
        <f t="shared" si="11"/>
        <v>1.7827155035636482</v>
      </c>
      <c r="G1418" s="318">
        <v>560.94200000000001</v>
      </c>
      <c r="H1418" s="179" t="s">
        <v>316</v>
      </c>
      <c r="I1418" s="179" t="s">
        <v>2523</v>
      </c>
      <c r="J1418" s="179" t="s">
        <v>97</v>
      </c>
      <c r="K1418" s="127" t="s">
        <v>1903</v>
      </c>
      <c r="L1418" s="179" t="s">
        <v>154</v>
      </c>
      <c r="M1418" s="76"/>
      <c r="N1418" s="76"/>
    </row>
    <row r="1419" spans="1:14" ht="15.6" hidden="1">
      <c r="A1419" s="376">
        <v>45880</v>
      </c>
      <c r="B1419" s="179" t="s">
        <v>2509</v>
      </c>
      <c r="C1419" s="179" t="s">
        <v>173</v>
      </c>
      <c r="D1419" s="179" t="s">
        <v>442</v>
      </c>
      <c r="E1419" s="179">
        <v>2000</v>
      </c>
      <c r="F1419" s="317">
        <f t="shared" si="11"/>
        <v>3.5654310071272963</v>
      </c>
      <c r="G1419" s="318">
        <v>560.94200000000001</v>
      </c>
      <c r="H1419" s="179" t="s">
        <v>316</v>
      </c>
      <c r="I1419" s="179" t="s">
        <v>2523</v>
      </c>
      <c r="J1419" s="179" t="s">
        <v>97</v>
      </c>
      <c r="K1419" s="127" t="s">
        <v>1903</v>
      </c>
      <c r="L1419" s="179" t="s">
        <v>154</v>
      </c>
      <c r="M1419" s="76"/>
      <c r="N1419" s="76"/>
    </row>
    <row r="1420" spans="1:14" ht="15.6" hidden="1">
      <c r="A1420" s="376">
        <v>45880</v>
      </c>
      <c r="B1420" s="179" t="s">
        <v>2510</v>
      </c>
      <c r="C1420" s="179" t="s">
        <v>173</v>
      </c>
      <c r="D1420" s="179" t="s">
        <v>442</v>
      </c>
      <c r="E1420" s="179">
        <v>2500</v>
      </c>
      <c r="F1420" s="317">
        <f t="shared" si="11"/>
        <v>4.4567887589091209</v>
      </c>
      <c r="G1420" s="318">
        <v>560.94200000000001</v>
      </c>
      <c r="H1420" s="179" t="s">
        <v>316</v>
      </c>
      <c r="I1420" s="179" t="s">
        <v>2523</v>
      </c>
      <c r="J1420" s="179" t="s">
        <v>97</v>
      </c>
      <c r="K1420" s="127" t="s">
        <v>1903</v>
      </c>
      <c r="L1420" s="179" t="s">
        <v>154</v>
      </c>
      <c r="M1420" s="76"/>
      <c r="N1420" s="76"/>
    </row>
    <row r="1421" spans="1:14" ht="15.6" hidden="1">
      <c r="A1421" s="376">
        <v>45880</v>
      </c>
      <c r="B1421" s="179" t="s">
        <v>2536</v>
      </c>
      <c r="C1421" s="179" t="s">
        <v>173</v>
      </c>
      <c r="D1421" s="179" t="s">
        <v>442</v>
      </c>
      <c r="E1421" s="369">
        <v>1000</v>
      </c>
      <c r="F1421" s="317">
        <f t="shared" si="11"/>
        <v>1.7827155035636482</v>
      </c>
      <c r="G1421" s="318">
        <v>560.94200000000001</v>
      </c>
      <c r="H1421" s="179" t="s">
        <v>322</v>
      </c>
      <c r="I1421" s="179" t="s">
        <v>2572</v>
      </c>
      <c r="J1421" s="179" t="s">
        <v>97</v>
      </c>
      <c r="K1421" s="127" t="s">
        <v>1903</v>
      </c>
      <c r="L1421" s="179" t="s">
        <v>154</v>
      </c>
      <c r="M1421" s="76"/>
      <c r="N1421" s="76"/>
    </row>
    <row r="1422" spans="1:14" ht="15.6" hidden="1">
      <c r="A1422" s="376">
        <v>45880</v>
      </c>
      <c r="B1422" s="179" t="s">
        <v>2537</v>
      </c>
      <c r="C1422" s="179" t="s">
        <v>173</v>
      </c>
      <c r="D1422" s="179" t="s">
        <v>442</v>
      </c>
      <c r="E1422" s="369">
        <v>1000</v>
      </c>
      <c r="F1422" s="317">
        <f t="shared" si="11"/>
        <v>1.7827155035636482</v>
      </c>
      <c r="G1422" s="318">
        <v>560.94200000000001</v>
      </c>
      <c r="H1422" s="179" t="s">
        <v>322</v>
      </c>
      <c r="I1422" s="179" t="s">
        <v>2572</v>
      </c>
      <c r="J1422" s="179" t="s">
        <v>97</v>
      </c>
      <c r="K1422" s="127" t="s">
        <v>1903</v>
      </c>
      <c r="L1422" s="179" t="s">
        <v>154</v>
      </c>
      <c r="M1422" s="76"/>
      <c r="N1422" s="76"/>
    </row>
    <row r="1423" spans="1:14" ht="15.6" hidden="1">
      <c r="A1423" s="372">
        <v>45881</v>
      </c>
      <c r="B1423" s="396" t="s">
        <v>2100</v>
      </c>
      <c r="C1423" s="303" t="s">
        <v>173</v>
      </c>
      <c r="D1423" s="303" t="s">
        <v>118</v>
      </c>
      <c r="E1423" s="396">
        <v>1000</v>
      </c>
      <c r="F1423" s="317">
        <f t="shared" si="11"/>
        <v>1.7827155035636482</v>
      </c>
      <c r="G1423" s="318">
        <v>560.94200000000001</v>
      </c>
      <c r="H1423" s="403" t="s">
        <v>152</v>
      </c>
      <c r="I1423" s="404" t="s">
        <v>2425</v>
      </c>
      <c r="J1423" s="179" t="s">
        <v>97</v>
      </c>
      <c r="K1423" s="127" t="s">
        <v>1903</v>
      </c>
      <c r="L1423" s="179" t="s">
        <v>154</v>
      </c>
      <c r="M1423" s="127"/>
      <c r="N1423" s="127"/>
    </row>
    <row r="1424" spans="1:14" ht="15.6" hidden="1">
      <c r="A1424" s="372">
        <v>45881</v>
      </c>
      <c r="B1424" s="396" t="s">
        <v>2101</v>
      </c>
      <c r="C1424" s="303" t="s">
        <v>173</v>
      </c>
      <c r="D1424" s="303" t="s">
        <v>118</v>
      </c>
      <c r="E1424" s="396">
        <v>1000</v>
      </c>
      <c r="F1424" s="317">
        <f t="shared" si="11"/>
        <v>1.7827155035636482</v>
      </c>
      <c r="G1424" s="318">
        <v>560.94200000000001</v>
      </c>
      <c r="H1424" s="403" t="s">
        <v>152</v>
      </c>
      <c r="I1424" s="404" t="s">
        <v>2425</v>
      </c>
      <c r="J1424" s="179" t="s">
        <v>97</v>
      </c>
      <c r="K1424" s="127" t="s">
        <v>1903</v>
      </c>
      <c r="L1424" s="179" t="s">
        <v>154</v>
      </c>
      <c r="M1424" s="127"/>
      <c r="N1424" s="127"/>
    </row>
    <row r="1425" spans="1:14" ht="15.6" hidden="1">
      <c r="A1425" s="379">
        <v>45881</v>
      </c>
      <c r="B1425" s="179" t="s">
        <v>3891</v>
      </c>
      <c r="C1425" s="179" t="s">
        <v>173</v>
      </c>
      <c r="D1425" s="179" t="s">
        <v>442</v>
      </c>
      <c r="E1425" s="179">
        <v>1000</v>
      </c>
      <c r="F1425" s="317">
        <f t="shared" si="11"/>
        <v>1.7827155035636482</v>
      </c>
      <c r="G1425" s="318">
        <v>560.94200000000001</v>
      </c>
      <c r="H1425" s="179" t="s">
        <v>174</v>
      </c>
      <c r="I1425" s="179" t="s">
        <v>2494</v>
      </c>
      <c r="J1425" s="179" t="s">
        <v>97</v>
      </c>
      <c r="K1425" s="127" t="s">
        <v>1903</v>
      </c>
      <c r="L1425" s="179" t="s">
        <v>154</v>
      </c>
      <c r="M1425" s="76"/>
      <c r="N1425" s="76"/>
    </row>
    <row r="1426" spans="1:14" ht="15.6" hidden="1">
      <c r="A1426" s="379">
        <v>45881</v>
      </c>
      <c r="B1426" s="179" t="s">
        <v>3892</v>
      </c>
      <c r="C1426" s="179" t="s">
        <v>173</v>
      </c>
      <c r="D1426" s="179" t="s">
        <v>442</v>
      </c>
      <c r="E1426" s="179">
        <v>1000</v>
      </c>
      <c r="F1426" s="317">
        <f t="shared" si="11"/>
        <v>1.7827155035636482</v>
      </c>
      <c r="G1426" s="318">
        <v>560.94200000000001</v>
      </c>
      <c r="H1426" s="179" t="s">
        <v>174</v>
      </c>
      <c r="I1426" s="179" t="s">
        <v>2494</v>
      </c>
      <c r="J1426" s="179" t="s">
        <v>97</v>
      </c>
      <c r="K1426" s="127" t="s">
        <v>1903</v>
      </c>
      <c r="L1426" s="179" t="s">
        <v>154</v>
      </c>
      <c r="M1426" s="76"/>
      <c r="N1426" s="76"/>
    </row>
    <row r="1427" spans="1:14" ht="15.6" hidden="1">
      <c r="A1427" s="379">
        <v>45881</v>
      </c>
      <c r="B1427" s="179" t="s">
        <v>3889</v>
      </c>
      <c r="C1427" s="179" t="s">
        <v>173</v>
      </c>
      <c r="D1427" s="179" t="s">
        <v>442</v>
      </c>
      <c r="E1427" s="179">
        <v>1000</v>
      </c>
      <c r="F1427" s="317">
        <f t="shared" si="11"/>
        <v>1.7827155035636482</v>
      </c>
      <c r="G1427" s="318">
        <v>560.94200000000001</v>
      </c>
      <c r="H1427" s="179" t="s">
        <v>174</v>
      </c>
      <c r="I1427" s="179" t="s">
        <v>2494</v>
      </c>
      <c r="J1427" s="179" t="s">
        <v>97</v>
      </c>
      <c r="K1427" s="127" t="s">
        <v>1903</v>
      </c>
      <c r="L1427" s="179" t="s">
        <v>154</v>
      </c>
      <c r="M1427" s="76"/>
      <c r="N1427" s="76"/>
    </row>
    <row r="1428" spans="1:14" ht="15.6" hidden="1">
      <c r="A1428" s="379">
        <v>45881</v>
      </c>
      <c r="B1428" s="179" t="s">
        <v>3889</v>
      </c>
      <c r="C1428" s="179" t="s">
        <v>173</v>
      </c>
      <c r="D1428" s="179" t="s">
        <v>442</v>
      </c>
      <c r="E1428" s="179">
        <v>1000</v>
      </c>
      <c r="F1428" s="317">
        <f t="shared" si="11"/>
        <v>1.7827155035636482</v>
      </c>
      <c r="G1428" s="318">
        <v>560.94200000000001</v>
      </c>
      <c r="H1428" s="179" t="s">
        <v>174</v>
      </c>
      <c r="I1428" s="179" t="s">
        <v>2494</v>
      </c>
      <c r="J1428" s="179" t="s">
        <v>97</v>
      </c>
      <c r="K1428" s="127" t="s">
        <v>1903</v>
      </c>
      <c r="L1428" s="179" t="s">
        <v>154</v>
      </c>
      <c r="M1428" s="76"/>
      <c r="N1428" s="76"/>
    </row>
    <row r="1429" spans="1:14" ht="15.6" hidden="1">
      <c r="A1429" s="379">
        <v>45881</v>
      </c>
      <c r="B1429" s="179" t="s">
        <v>2490</v>
      </c>
      <c r="C1429" s="179" t="s">
        <v>368</v>
      </c>
      <c r="D1429" s="179" t="s">
        <v>442</v>
      </c>
      <c r="E1429" s="179">
        <v>2000</v>
      </c>
      <c r="F1429" s="317">
        <f t="shared" si="11"/>
        <v>3.5654310071272963</v>
      </c>
      <c r="G1429" s="318">
        <v>560.94200000000001</v>
      </c>
      <c r="H1429" s="179" t="s">
        <v>174</v>
      </c>
      <c r="I1429" s="179" t="s">
        <v>2495</v>
      </c>
      <c r="J1429" s="179" t="s">
        <v>97</v>
      </c>
      <c r="K1429" s="127" t="s">
        <v>1903</v>
      </c>
      <c r="L1429" s="179" t="s">
        <v>154</v>
      </c>
      <c r="M1429" s="76"/>
      <c r="N1429" s="76"/>
    </row>
    <row r="1430" spans="1:14" ht="15.6" hidden="1">
      <c r="A1430" s="376">
        <v>45881</v>
      </c>
      <c r="B1430" s="179" t="s">
        <v>2511</v>
      </c>
      <c r="C1430" s="179" t="s">
        <v>173</v>
      </c>
      <c r="D1430" s="179" t="s">
        <v>442</v>
      </c>
      <c r="E1430" s="179">
        <v>1000</v>
      </c>
      <c r="F1430" s="317">
        <f t="shared" si="11"/>
        <v>1.7827155035636482</v>
      </c>
      <c r="G1430" s="318">
        <v>560.94200000000001</v>
      </c>
      <c r="H1430" s="179" t="s">
        <v>316</v>
      </c>
      <c r="I1430" s="179" t="s">
        <v>2523</v>
      </c>
      <c r="J1430" s="179" t="s">
        <v>97</v>
      </c>
      <c r="K1430" s="127" t="s">
        <v>1903</v>
      </c>
      <c r="L1430" s="179" t="s">
        <v>154</v>
      </c>
      <c r="M1430" s="76"/>
      <c r="N1430" s="76"/>
    </row>
    <row r="1431" spans="1:14" ht="15.6" hidden="1">
      <c r="A1431" s="376">
        <v>45881</v>
      </c>
      <c r="B1431" s="179" t="s">
        <v>2512</v>
      </c>
      <c r="C1431" s="179" t="s">
        <v>173</v>
      </c>
      <c r="D1431" s="179" t="s">
        <v>442</v>
      </c>
      <c r="E1431" s="179">
        <v>1500</v>
      </c>
      <c r="F1431" s="317">
        <f t="shared" si="11"/>
        <v>2.6740732553454722</v>
      </c>
      <c r="G1431" s="318">
        <v>560.94200000000001</v>
      </c>
      <c r="H1431" s="179" t="s">
        <v>316</v>
      </c>
      <c r="I1431" s="179" t="s">
        <v>2523</v>
      </c>
      <c r="J1431" s="179" t="s">
        <v>97</v>
      </c>
      <c r="K1431" s="127" t="s">
        <v>1903</v>
      </c>
      <c r="L1431" s="179" t="s">
        <v>154</v>
      </c>
      <c r="M1431" s="76"/>
      <c r="N1431" s="76"/>
    </row>
    <row r="1432" spans="1:14" ht="15.6" hidden="1">
      <c r="A1432" s="376">
        <v>45881</v>
      </c>
      <c r="B1432" s="179" t="s">
        <v>3704</v>
      </c>
      <c r="C1432" s="179" t="s">
        <v>173</v>
      </c>
      <c r="D1432" s="179" t="s">
        <v>442</v>
      </c>
      <c r="E1432" s="179">
        <v>2500</v>
      </c>
      <c r="F1432" s="317">
        <f t="shared" si="11"/>
        <v>4.4567887589091209</v>
      </c>
      <c r="G1432" s="318">
        <v>560.94200000000001</v>
      </c>
      <c r="H1432" s="179" t="s">
        <v>316</v>
      </c>
      <c r="I1432" s="179" t="s">
        <v>2523</v>
      </c>
      <c r="J1432" s="179" t="s">
        <v>97</v>
      </c>
      <c r="K1432" s="127" t="s">
        <v>1903</v>
      </c>
      <c r="L1432" s="179" t="s">
        <v>154</v>
      </c>
      <c r="M1432" s="76"/>
      <c r="N1432" s="76"/>
    </row>
    <row r="1433" spans="1:14" ht="15.6" hidden="1">
      <c r="A1433" s="376">
        <v>45881</v>
      </c>
      <c r="B1433" s="179" t="s">
        <v>2538</v>
      </c>
      <c r="C1433" s="179" t="s">
        <v>173</v>
      </c>
      <c r="D1433" s="179" t="s">
        <v>442</v>
      </c>
      <c r="E1433" s="369">
        <v>1000</v>
      </c>
      <c r="F1433" s="317">
        <f t="shared" si="11"/>
        <v>1.7827155035636482</v>
      </c>
      <c r="G1433" s="318">
        <v>560.94200000000001</v>
      </c>
      <c r="H1433" s="179" t="s">
        <v>322</v>
      </c>
      <c r="I1433" s="179" t="s">
        <v>2572</v>
      </c>
      <c r="J1433" s="179" t="s">
        <v>97</v>
      </c>
      <c r="K1433" s="127" t="s">
        <v>1903</v>
      </c>
      <c r="L1433" s="179" t="s">
        <v>154</v>
      </c>
      <c r="M1433" s="76"/>
      <c r="N1433" s="76"/>
    </row>
    <row r="1434" spans="1:14" ht="15.6" hidden="1">
      <c r="A1434" s="376">
        <v>45881</v>
      </c>
      <c r="B1434" s="179" t="s">
        <v>2539</v>
      </c>
      <c r="C1434" s="179" t="s">
        <v>173</v>
      </c>
      <c r="D1434" s="179" t="s">
        <v>442</v>
      </c>
      <c r="E1434" s="369">
        <v>1000</v>
      </c>
      <c r="F1434" s="317">
        <f t="shared" si="11"/>
        <v>1.7827155035636482</v>
      </c>
      <c r="G1434" s="318">
        <v>560.94200000000001</v>
      </c>
      <c r="H1434" s="179" t="s">
        <v>322</v>
      </c>
      <c r="I1434" s="179" t="s">
        <v>2572</v>
      </c>
      <c r="J1434" s="179" t="s">
        <v>97</v>
      </c>
      <c r="K1434" s="127" t="s">
        <v>1903</v>
      </c>
      <c r="L1434" s="179" t="s">
        <v>154</v>
      </c>
      <c r="M1434" s="76"/>
      <c r="N1434" s="76"/>
    </row>
    <row r="1435" spans="1:14" ht="15.6" hidden="1">
      <c r="A1435" s="376">
        <v>45881</v>
      </c>
      <c r="B1435" s="179" t="s">
        <v>2540</v>
      </c>
      <c r="C1435" s="179" t="s">
        <v>173</v>
      </c>
      <c r="D1435" s="179" t="s">
        <v>442</v>
      </c>
      <c r="E1435" s="369">
        <v>1000</v>
      </c>
      <c r="F1435" s="317">
        <f t="shared" si="11"/>
        <v>1.7827155035636482</v>
      </c>
      <c r="G1435" s="318">
        <v>560.94200000000001</v>
      </c>
      <c r="H1435" s="179" t="s">
        <v>322</v>
      </c>
      <c r="I1435" s="179" t="s">
        <v>2572</v>
      </c>
      <c r="J1435" s="179" t="s">
        <v>97</v>
      </c>
      <c r="K1435" s="127" t="s">
        <v>1903</v>
      </c>
      <c r="L1435" s="179" t="s">
        <v>154</v>
      </c>
      <c r="M1435" s="76"/>
      <c r="N1435" s="76"/>
    </row>
    <row r="1436" spans="1:14" ht="15.6" hidden="1">
      <c r="A1436" s="376">
        <v>45881</v>
      </c>
      <c r="B1436" s="179" t="s">
        <v>2541</v>
      </c>
      <c r="C1436" s="179" t="s">
        <v>173</v>
      </c>
      <c r="D1436" s="179" t="s">
        <v>442</v>
      </c>
      <c r="E1436" s="369">
        <v>1000</v>
      </c>
      <c r="F1436" s="317">
        <f t="shared" si="11"/>
        <v>1.7827155035636482</v>
      </c>
      <c r="G1436" s="318">
        <v>560.94200000000001</v>
      </c>
      <c r="H1436" s="179" t="s">
        <v>322</v>
      </c>
      <c r="I1436" s="179" t="s">
        <v>2572</v>
      </c>
      <c r="J1436" s="179" t="s">
        <v>97</v>
      </c>
      <c r="K1436" s="127" t="s">
        <v>1903</v>
      </c>
      <c r="L1436" s="179" t="s">
        <v>154</v>
      </c>
      <c r="M1436" s="76"/>
      <c r="N1436" s="76"/>
    </row>
    <row r="1437" spans="1:14" ht="15.6" hidden="1">
      <c r="A1437" s="372">
        <v>45882</v>
      </c>
      <c r="B1437" s="396" t="s">
        <v>2100</v>
      </c>
      <c r="C1437" s="303" t="s">
        <v>173</v>
      </c>
      <c r="D1437" s="303" t="s">
        <v>118</v>
      </c>
      <c r="E1437" s="396">
        <v>1000</v>
      </c>
      <c r="F1437" s="317">
        <f t="shared" si="11"/>
        <v>1.7827155035636482</v>
      </c>
      <c r="G1437" s="318">
        <v>560.94200000000001</v>
      </c>
      <c r="H1437" s="403" t="s">
        <v>152</v>
      </c>
      <c r="I1437" s="404" t="s">
        <v>2425</v>
      </c>
      <c r="J1437" s="179" t="s">
        <v>97</v>
      </c>
      <c r="K1437" s="127" t="s">
        <v>1903</v>
      </c>
      <c r="L1437" s="179" t="s">
        <v>154</v>
      </c>
      <c r="M1437" s="127"/>
      <c r="N1437" s="127"/>
    </row>
    <row r="1438" spans="1:14" ht="15.6" hidden="1">
      <c r="A1438" s="372">
        <v>45882</v>
      </c>
      <c r="B1438" s="396" t="s">
        <v>2101</v>
      </c>
      <c r="C1438" s="303" t="s">
        <v>173</v>
      </c>
      <c r="D1438" s="303" t="s">
        <v>118</v>
      </c>
      <c r="E1438" s="396">
        <v>1000</v>
      </c>
      <c r="F1438" s="317">
        <f t="shared" ref="F1438" si="12">E1438/G1438</f>
        <v>1.7827155035636482</v>
      </c>
      <c r="G1438" s="318">
        <v>560.94200000000001</v>
      </c>
      <c r="H1438" s="403" t="s">
        <v>152</v>
      </c>
      <c r="I1438" s="404" t="s">
        <v>2425</v>
      </c>
      <c r="J1438" s="179" t="s">
        <v>97</v>
      </c>
      <c r="K1438" s="127" t="s">
        <v>1903</v>
      </c>
      <c r="L1438" s="179" t="s">
        <v>154</v>
      </c>
      <c r="M1438" s="127"/>
      <c r="N1438" s="127"/>
    </row>
    <row r="1439" spans="1:14" ht="15.6" hidden="1">
      <c r="A1439" s="378">
        <v>45882</v>
      </c>
      <c r="B1439" s="179" t="s">
        <v>2436</v>
      </c>
      <c r="C1439" s="179" t="s">
        <v>173</v>
      </c>
      <c r="D1439" s="179" t="s">
        <v>117</v>
      </c>
      <c r="E1439" s="332">
        <v>1500</v>
      </c>
      <c r="F1439" s="317"/>
      <c r="G1439" s="318">
        <v>560.94200000000001</v>
      </c>
      <c r="H1439" s="179" t="s">
        <v>583</v>
      </c>
      <c r="I1439" s="179" t="s">
        <v>2464</v>
      </c>
      <c r="J1439" s="179" t="s">
        <v>97</v>
      </c>
      <c r="K1439" s="127" t="s">
        <v>1903</v>
      </c>
      <c r="L1439" s="179" t="s">
        <v>154</v>
      </c>
      <c r="M1439" s="325"/>
      <c r="N1439" s="127"/>
    </row>
    <row r="1440" spans="1:14" ht="15.6" hidden="1">
      <c r="A1440" s="378">
        <v>45882</v>
      </c>
      <c r="B1440" s="179" t="s">
        <v>2437</v>
      </c>
      <c r="C1440" s="179" t="s">
        <v>173</v>
      </c>
      <c r="D1440" s="179" t="s">
        <v>117</v>
      </c>
      <c r="E1440" s="332">
        <v>1500</v>
      </c>
      <c r="F1440" s="317">
        <f t="shared" ref="F1440:F1503" si="13">E1440/G1440</f>
        <v>2.6740732553454722</v>
      </c>
      <c r="G1440" s="318">
        <v>560.94200000000001</v>
      </c>
      <c r="H1440" s="179" t="s">
        <v>583</v>
      </c>
      <c r="I1440" s="179" t="s">
        <v>2464</v>
      </c>
      <c r="J1440" s="179" t="s">
        <v>97</v>
      </c>
      <c r="K1440" s="127" t="s">
        <v>1903</v>
      </c>
      <c r="L1440" s="179" t="s">
        <v>154</v>
      </c>
      <c r="M1440" s="127"/>
      <c r="N1440" s="127"/>
    </row>
    <row r="1441" spans="1:14" ht="15.6" hidden="1">
      <c r="A1441" s="241">
        <v>45882</v>
      </c>
      <c r="B1441" s="174" t="s">
        <v>3779</v>
      </c>
      <c r="C1441" s="174" t="s">
        <v>173</v>
      </c>
      <c r="D1441" s="179" t="s">
        <v>442</v>
      </c>
      <c r="E1441" s="174">
        <v>1000</v>
      </c>
      <c r="F1441" s="317">
        <f t="shared" si="13"/>
        <v>1.7827155035636482</v>
      </c>
      <c r="G1441" s="318">
        <v>560.94200000000001</v>
      </c>
      <c r="H1441" s="174" t="s">
        <v>183</v>
      </c>
      <c r="I1441" s="174" t="s">
        <v>2473</v>
      </c>
      <c r="J1441" s="179" t="s">
        <v>97</v>
      </c>
      <c r="K1441" s="127" t="s">
        <v>1903</v>
      </c>
      <c r="L1441" s="179" t="s">
        <v>154</v>
      </c>
      <c r="M1441" s="127"/>
      <c r="N1441" s="127"/>
    </row>
    <row r="1442" spans="1:14" ht="15.6" hidden="1">
      <c r="A1442" s="241">
        <v>45882</v>
      </c>
      <c r="B1442" s="174" t="s">
        <v>3781</v>
      </c>
      <c r="C1442" s="174" t="s">
        <v>173</v>
      </c>
      <c r="D1442" s="179" t="s">
        <v>442</v>
      </c>
      <c r="E1442" s="174">
        <v>1000</v>
      </c>
      <c r="F1442" s="317">
        <f t="shared" si="13"/>
        <v>1.7827155035636482</v>
      </c>
      <c r="G1442" s="318">
        <v>560.94200000000001</v>
      </c>
      <c r="H1442" s="174" t="s">
        <v>183</v>
      </c>
      <c r="I1442" s="174" t="s">
        <v>2473</v>
      </c>
      <c r="J1442" s="179" t="s">
        <v>97</v>
      </c>
      <c r="K1442" s="127" t="s">
        <v>1903</v>
      </c>
      <c r="L1442" s="179" t="s">
        <v>154</v>
      </c>
      <c r="M1442" s="127"/>
      <c r="N1442" s="127"/>
    </row>
    <row r="1443" spans="1:14" ht="15.6" hidden="1">
      <c r="A1443" s="241">
        <v>45882</v>
      </c>
      <c r="B1443" s="174" t="s">
        <v>3782</v>
      </c>
      <c r="C1443" s="174" t="s">
        <v>173</v>
      </c>
      <c r="D1443" s="179" t="s">
        <v>442</v>
      </c>
      <c r="E1443" s="174">
        <v>1500</v>
      </c>
      <c r="F1443" s="317">
        <f t="shared" si="13"/>
        <v>2.6740732553454722</v>
      </c>
      <c r="G1443" s="318">
        <v>560.94200000000001</v>
      </c>
      <c r="H1443" s="174" t="s">
        <v>183</v>
      </c>
      <c r="I1443" s="174" t="s">
        <v>2473</v>
      </c>
      <c r="J1443" s="179" t="s">
        <v>97</v>
      </c>
      <c r="K1443" s="127" t="s">
        <v>1903</v>
      </c>
      <c r="L1443" s="179" t="s">
        <v>154</v>
      </c>
      <c r="M1443" s="127"/>
      <c r="N1443" s="127"/>
    </row>
    <row r="1444" spans="1:14" ht="15.6" hidden="1">
      <c r="A1444" s="241">
        <v>45882</v>
      </c>
      <c r="B1444" s="174" t="s">
        <v>2469</v>
      </c>
      <c r="C1444" s="174" t="s">
        <v>368</v>
      </c>
      <c r="D1444" s="179" t="s">
        <v>442</v>
      </c>
      <c r="E1444" s="174">
        <v>1000</v>
      </c>
      <c r="F1444" s="317">
        <f t="shared" si="13"/>
        <v>1.7827155035636482</v>
      </c>
      <c r="G1444" s="318">
        <v>560.94200000000001</v>
      </c>
      <c r="H1444" s="174" t="s">
        <v>183</v>
      </c>
      <c r="I1444" s="174" t="s">
        <v>2474</v>
      </c>
      <c r="J1444" s="179" t="s">
        <v>97</v>
      </c>
      <c r="K1444" s="127" t="s">
        <v>1903</v>
      </c>
      <c r="L1444" s="179" t="s">
        <v>154</v>
      </c>
      <c r="M1444" s="127"/>
      <c r="N1444" s="127"/>
    </row>
    <row r="1445" spans="1:14" ht="15.6" hidden="1">
      <c r="A1445" s="379">
        <v>45882</v>
      </c>
      <c r="B1445" s="179" t="s">
        <v>3893</v>
      </c>
      <c r="C1445" s="179" t="s">
        <v>173</v>
      </c>
      <c r="D1445" s="179" t="s">
        <v>442</v>
      </c>
      <c r="E1445" s="179">
        <v>1500</v>
      </c>
      <c r="F1445" s="317">
        <f t="shared" si="13"/>
        <v>2.6740732553454722</v>
      </c>
      <c r="G1445" s="318">
        <v>560.94200000000001</v>
      </c>
      <c r="H1445" s="179" t="s">
        <v>174</v>
      </c>
      <c r="I1445" s="179" t="s">
        <v>2494</v>
      </c>
      <c r="J1445" s="179" t="s">
        <v>97</v>
      </c>
      <c r="K1445" s="127" t="s">
        <v>1903</v>
      </c>
      <c r="L1445" s="179" t="s">
        <v>154</v>
      </c>
      <c r="M1445" s="76"/>
      <c r="N1445" s="76"/>
    </row>
    <row r="1446" spans="1:14" ht="15.6" hidden="1">
      <c r="A1446" s="379">
        <v>45882</v>
      </c>
      <c r="B1446" s="179" t="s">
        <v>3894</v>
      </c>
      <c r="C1446" s="179" t="s">
        <v>173</v>
      </c>
      <c r="D1446" s="179" t="s">
        <v>442</v>
      </c>
      <c r="E1446" s="179">
        <v>1000</v>
      </c>
      <c r="F1446" s="317">
        <f t="shared" si="13"/>
        <v>1.7827155035636482</v>
      </c>
      <c r="G1446" s="318">
        <v>560.94200000000001</v>
      </c>
      <c r="H1446" s="179" t="s">
        <v>174</v>
      </c>
      <c r="I1446" s="179" t="s">
        <v>2494</v>
      </c>
      <c r="J1446" s="179" t="s">
        <v>97</v>
      </c>
      <c r="K1446" s="127" t="s">
        <v>1903</v>
      </c>
      <c r="L1446" s="179" t="s">
        <v>154</v>
      </c>
      <c r="M1446" s="76"/>
      <c r="N1446" s="76"/>
    </row>
    <row r="1447" spans="1:14" ht="15.6" hidden="1">
      <c r="A1447" s="379">
        <v>45882</v>
      </c>
      <c r="B1447" s="179" t="s">
        <v>3895</v>
      </c>
      <c r="C1447" s="179" t="s">
        <v>173</v>
      </c>
      <c r="D1447" s="179" t="s">
        <v>442</v>
      </c>
      <c r="E1447" s="179">
        <v>1000</v>
      </c>
      <c r="F1447" s="317">
        <f t="shared" si="13"/>
        <v>1.7827155035636482</v>
      </c>
      <c r="G1447" s="318">
        <v>560.94200000000001</v>
      </c>
      <c r="H1447" s="179" t="s">
        <v>174</v>
      </c>
      <c r="I1447" s="179" t="s">
        <v>2494</v>
      </c>
      <c r="J1447" s="179" t="s">
        <v>97</v>
      </c>
      <c r="K1447" s="127" t="s">
        <v>1903</v>
      </c>
      <c r="L1447" s="179" t="s">
        <v>154</v>
      </c>
      <c r="M1447" s="76"/>
      <c r="N1447" s="76"/>
    </row>
    <row r="1448" spans="1:14" ht="15.6" hidden="1">
      <c r="A1448" s="379">
        <v>45882</v>
      </c>
      <c r="B1448" s="179" t="s">
        <v>3896</v>
      </c>
      <c r="C1448" s="179" t="s">
        <v>173</v>
      </c>
      <c r="D1448" s="179" t="s">
        <v>442</v>
      </c>
      <c r="E1448" s="179">
        <v>2000</v>
      </c>
      <c r="F1448" s="317">
        <f t="shared" si="13"/>
        <v>3.5654310071272963</v>
      </c>
      <c r="G1448" s="318">
        <v>560.94200000000001</v>
      </c>
      <c r="H1448" s="179" t="s">
        <v>174</v>
      </c>
      <c r="I1448" s="179" t="s">
        <v>2494</v>
      </c>
      <c r="J1448" s="179" t="s">
        <v>97</v>
      </c>
      <c r="K1448" s="127" t="s">
        <v>1903</v>
      </c>
      <c r="L1448" s="179" t="s">
        <v>154</v>
      </c>
      <c r="M1448" s="76"/>
      <c r="N1448" s="76"/>
    </row>
    <row r="1449" spans="1:14" ht="15.6" hidden="1">
      <c r="A1449" s="379">
        <v>45882</v>
      </c>
      <c r="B1449" s="179" t="s">
        <v>3897</v>
      </c>
      <c r="C1449" s="179" t="s">
        <v>173</v>
      </c>
      <c r="D1449" s="179" t="s">
        <v>442</v>
      </c>
      <c r="E1449" s="179">
        <v>2000</v>
      </c>
      <c r="F1449" s="317">
        <f t="shared" si="13"/>
        <v>3.5654310071272963</v>
      </c>
      <c r="G1449" s="318">
        <v>560.94200000000001</v>
      </c>
      <c r="H1449" s="179" t="s">
        <v>174</v>
      </c>
      <c r="I1449" s="179" t="s">
        <v>2494</v>
      </c>
      <c r="J1449" s="179" t="s">
        <v>97</v>
      </c>
      <c r="K1449" s="127" t="s">
        <v>1903</v>
      </c>
      <c r="L1449" s="179" t="s">
        <v>154</v>
      </c>
      <c r="M1449" s="76"/>
      <c r="N1449" s="76"/>
    </row>
    <row r="1450" spans="1:14" ht="15.6" hidden="1">
      <c r="A1450" s="376">
        <v>45882</v>
      </c>
      <c r="B1450" s="179" t="s">
        <v>3705</v>
      </c>
      <c r="C1450" s="179" t="s">
        <v>173</v>
      </c>
      <c r="D1450" s="179" t="s">
        <v>442</v>
      </c>
      <c r="E1450" s="179">
        <v>2000</v>
      </c>
      <c r="F1450" s="317">
        <f t="shared" si="13"/>
        <v>3.5654310071272963</v>
      </c>
      <c r="G1450" s="318">
        <v>560.94200000000001</v>
      </c>
      <c r="H1450" s="179" t="s">
        <v>316</v>
      </c>
      <c r="I1450" s="179" t="s">
        <v>2523</v>
      </c>
      <c r="J1450" s="179" t="s">
        <v>97</v>
      </c>
      <c r="K1450" s="127" t="s">
        <v>1903</v>
      </c>
      <c r="L1450" s="179" t="s">
        <v>154</v>
      </c>
      <c r="M1450" s="76"/>
      <c r="N1450" s="76"/>
    </row>
    <row r="1451" spans="1:14" ht="15.6" hidden="1">
      <c r="A1451" s="376">
        <v>45882</v>
      </c>
      <c r="B1451" s="179" t="s">
        <v>3706</v>
      </c>
      <c r="C1451" s="179" t="s">
        <v>173</v>
      </c>
      <c r="D1451" s="179" t="s">
        <v>442</v>
      </c>
      <c r="E1451" s="179">
        <v>1000</v>
      </c>
      <c r="F1451" s="317">
        <f t="shared" si="13"/>
        <v>1.7827155035636482</v>
      </c>
      <c r="G1451" s="318">
        <v>560.94200000000001</v>
      </c>
      <c r="H1451" s="179" t="s">
        <v>316</v>
      </c>
      <c r="I1451" s="179" t="s">
        <v>2523</v>
      </c>
      <c r="J1451" s="179" t="s">
        <v>97</v>
      </c>
      <c r="K1451" s="127" t="s">
        <v>1903</v>
      </c>
      <c r="L1451" s="179" t="s">
        <v>154</v>
      </c>
      <c r="M1451" s="76"/>
      <c r="N1451" s="76"/>
    </row>
    <row r="1452" spans="1:14" ht="15.6" hidden="1">
      <c r="A1452" s="376">
        <v>45882</v>
      </c>
      <c r="B1452" s="179" t="s">
        <v>3706</v>
      </c>
      <c r="C1452" s="179" t="s">
        <v>173</v>
      </c>
      <c r="D1452" s="179" t="s">
        <v>442</v>
      </c>
      <c r="E1452" s="179">
        <v>1000</v>
      </c>
      <c r="F1452" s="317">
        <f t="shared" si="13"/>
        <v>1.7827155035636482</v>
      </c>
      <c r="G1452" s="318">
        <v>560.94200000000001</v>
      </c>
      <c r="H1452" s="179" t="s">
        <v>316</v>
      </c>
      <c r="I1452" s="179" t="s">
        <v>2523</v>
      </c>
      <c r="J1452" s="179" t="s">
        <v>97</v>
      </c>
      <c r="K1452" s="127" t="s">
        <v>1903</v>
      </c>
      <c r="L1452" s="179" t="s">
        <v>154</v>
      </c>
      <c r="M1452" s="76"/>
      <c r="N1452" s="76"/>
    </row>
    <row r="1453" spans="1:14" ht="15.6" hidden="1">
      <c r="A1453" s="376">
        <v>45882</v>
      </c>
      <c r="B1453" s="179" t="s">
        <v>3707</v>
      </c>
      <c r="C1453" s="179" t="s">
        <v>173</v>
      </c>
      <c r="D1453" s="179" t="s">
        <v>442</v>
      </c>
      <c r="E1453" s="179">
        <v>2000</v>
      </c>
      <c r="F1453" s="317">
        <f t="shared" si="13"/>
        <v>3.5654310071272963</v>
      </c>
      <c r="G1453" s="318">
        <v>560.94200000000001</v>
      </c>
      <c r="H1453" s="179" t="s">
        <v>316</v>
      </c>
      <c r="I1453" s="179" t="s">
        <v>2523</v>
      </c>
      <c r="J1453" s="179" t="s">
        <v>97</v>
      </c>
      <c r="K1453" s="127" t="s">
        <v>1903</v>
      </c>
      <c r="L1453" s="179" t="s">
        <v>154</v>
      </c>
      <c r="M1453" s="76"/>
      <c r="N1453" s="76"/>
    </row>
    <row r="1454" spans="1:14" ht="15.6" hidden="1">
      <c r="A1454" s="376">
        <v>45882</v>
      </c>
      <c r="B1454" s="179" t="s">
        <v>2542</v>
      </c>
      <c r="C1454" s="179" t="s">
        <v>173</v>
      </c>
      <c r="D1454" s="179" t="s">
        <v>442</v>
      </c>
      <c r="E1454" s="369">
        <v>1500</v>
      </c>
      <c r="F1454" s="317">
        <f t="shared" si="13"/>
        <v>2.6740732553454722</v>
      </c>
      <c r="G1454" s="318">
        <v>560.94200000000001</v>
      </c>
      <c r="H1454" s="179" t="s">
        <v>322</v>
      </c>
      <c r="I1454" s="179" t="s">
        <v>2572</v>
      </c>
      <c r="J1454" s="179" t="s">
        <v>97</v>
      </c>
      <c r="K1454" s="127" t="s">
        <v>1903</v>
      </c>
      <c r="L1454" s="179" t="s">
        <v>154</v>
      </c>
      <c r="M1454" s="76"/>
      <c r="N1454" s="76"/>
    </row>
    <row r="1455" spans="1:14" ht="15.6" hidden="1">
      <c r="A1455" s="376">
        <v>45882</v>
      </c>
      <c r="B1455" s="179" t="s">
        <v>2543</v>
      </c>
      <c r="C1455" s="179" t="s">
        <v>173</v>
      </c>
      <c r="D1455" s="179" t="s">
        <v>442</v>
      </c>
      <c r="E1455" s="369">
        <v>1500</v>
      </c>
      <c r="F1455" s="317">
        <f t="shared" si="13"/>
        <v>2.6740732553454722</v>
      </c>
      <c r="G1455" s="318">
        <v>560.94200000000001</v>
      </c>
      <c r="H1455" s="179" t="s">
        <v>322</v>
      </c>
      <c r="I1455" s="179" t="s">
        <v>2572</v>
      </c>
      <c r="J1455" s="179" t="s">
        <v>97</v>
      </c>
      <c r="K1455" s="127" t="s">
        <v>1903</v>
      </c>
      <c r="L1455" s="179" t="s">
        <v>154</v>
      </c>
      <c r="M1455" s="76"/>
      <c r="N1455" s="76"/>
    </row>
    <row r="1456" spans="1:14" ht="15.6" hidden="1">
      <c r="A1456" s="376">
        <v>45882</v>
      </c>
      <c r="B1456" s="179" t="s">
        <v>2544</v>
      </c>
      <c r="C1456" s="179" t="s">
        <v>173</v>
      </c>
      <c r="D1456" s="179" t="s">
        <v>442</v>
      </c>
      <c r="E1456" s="369">
        <v>1000</v>
      </c>
      <c r="F1456" s="317">
        <f t="shared" si="13"/>
        <v>1.7827155035636482</v>
      </c>
      <c r="G1456" s="318">
        <v>560.94200000000001</v>
      </c>
      <c r="H1456" s="179" t="s">
        <v>322</v>
      </c>
      <c r="I1456" s="179" t="s">
        <v>2572</v>
      </c>
      <c r="J1456" s="179" t="s">
        <v>97</v>
      </c>
      <c r="K1456" s="127" t="s">
        <v>1903</v>
      </c>
      <c r="L1456" s="179" t="s">
        <v>154</v>
      </c>
      <c r="M1456" s="76"/>
      <c r="N1456" s="76"/>
    </row>
    <row r="1457" spans="1:14" ht="15.6" hidden="1">
      <c r="A1457" s="376">
        <v>45882</v>
      </c>
      <c r="B1457" s="179" t="s">
        <v>2718</v>
      </c>
      <c r="C1457" s="179" t="s">
        <v>173</v>
      </c>
      <c r="D1457" s="179" t="s">
        <v>119</v>
      </c>
      <c r="E1457" s="369">
        <v>1000</v>
      </c>
      <c r="F1457" s="317">
        <f t="shared" si="13"/>
        <v>1.7827155035636482</v>
      </c>
      <c r="G1457" s="318">
        <v>560.94200000000001</v>
      </c>
      <c r="H1457" s="179" t="s">
        <v>212</v>
      </c>
      <c r="I1457" s="179" t="s">
        <v>2739</v>
      </c>
      <c r="J1457" s="179" t="s">
        <v>97</v>
      </c>
      <c r="K1457" s="127" t="s">
        <v>1903</v>
      </c>
      <c r="L1457" s="179" t="s">
        <v>154</v>
      </c>
      <c r="M1457" s="76"/>
      <c r="N1457" s="76"/>
    </row>
    <row r="1458" spans="1:14" ht="15.6" hidden="1">
      <c r="A1458" s="376">
        <v>45882</v>
      </c>
      <c r="B1458" s="179" t="s">
        <v>2720</v>
      </c>
      <c r="C1458" s="179" t="s">
        <v>173</v>
      </c>
      <c r="D1458" s="179" t="s">
        <v>119</v>
      </c>
      <c r="E1458" s="369">
        <v>1000</v>
      </c>
      <c r="F1458" s="317">
        <f t="shared" si="13"/>
        <v>1.7827155035636482</v>
      </c>
      <c r="G1458" s="318">
        <v>560.94200000000001</v>
      </c>
      <c r="H1458" s="179" t="s">
        <v>212</v>
      </c>
      <c r="I1458" s="179" t="s">
        <v>2739</v>
      </c>
      <c r="J1458" s="179" t="s">
        <v>97</v>
      </c>
      <c r="K1458" s="127" t="s">
        <v>1903</v>
      </c>
      <c r="L1458" s="179" t="s">
        <v>154</v>
      </c>
      <c r="M1458" s="76"/>
      <c r="N1458" s="76"/>
    </row>
    <row r="1459" spans="1:14" ht="15.6" hidden="1">
      <c r="A1459" s="386">
        <v>45882</v>
      </c>
      <c r="B1459" s="328" t="s">
        <v>2764</v>
      </c>
      <c r="C1459" s="179" t="s">
        <v>124</v>
      </c>
      <c r="D1459" s="336"/>
      <c r="E1459" s="332"/>
      <c r="F1459" s="317">
        <f t="shared" si="13"/>
        <v>0</v>
      </c>
      <c r="G1459" s="394">
        <f>+M1459/5000</f>
        <v>532.90200000000004</v>
      </c>
      <c r="H1459" s="179" t="s">
        <v>147</v>
      </c>
      <c r="I1459" s="179" t="s">
        <v>2800</v>
      </c>
      <c r="J1459" s="179" t="s">
        <v>97</v>
      </c>
      <c r="K1459" s="179" t="s">
        <v>2099</v>
      </c>
      <c r="L1459" s="179" t="s">
        <v>154</v>
      </c>
      <c r="M1459" s="393">
        <v>2664510</v>
      </c>
      <c r="N1459" s="76">
        <v>5000</v>
      </c>
    </row>
    <row r="1460" spans="1:14" ht="15.6" hidden="1">
      <c r="A1460" s="386">
        <v>45882</v>
      </c>
      <c r="B1460" s="328" t="s">
        <v>2765</v>
      </c>
      <c r="C1460" s="179" t="s">
        <v>124</v>
      </c>
      <c r="D1460" s="341"/>
      <c r="E1460" s="332"/>
      <c r="F1460" s="317">
        <f t="shared" si="13"/>
        <v>0</v>
      </c>
      <c r="G1460" s="394">
        <f>+M1460/27000</f>
        <v>532.90192592592598</v>
      </c>
      <c r="H1460" s="179" t="s">
        <v>147</v>
      </c>
      <c r="I1460" s="179" t="s">
        <v>2801</v>
      </c>
      <c r="J1460" s="179" t="s">
        <v>97</v>
      </c>
      <c r="K1460" s="179" t="s">
        <v>1903</v>
      </c>
      <c r="L1460" s="179" t="s">
        <v>154</v>
      </c>
      <c r="M1460" s="393">
        <v>14388352</v>
      </c>
      <c r="N1460" s="76">
        <v>27000</v>
      </c>
    </row>
    <row r="1461" spans="1:14" ht="15.6" hidden="1">
      <c r="A1461" s="372">
        <v>45883</v>
      </c>
      <c r="B1461" s="396" t="s">
        <v>2101</v>
      </c>
      <c r="C1461" s="303" t="s">
        <v>173</v>
      </c>
      <c r="D1461" s="303" t="s">
        <v>118</v>
      </c>
      <c r="E1461" s="396">
        <v>1000</v>
      </c>
      <c r="F1461" s="317">
        <f t="shared" si="13"/>
        <v>1.7827155035636482</v>
      </c>
      <c r="G1461" s="318">
        <v>560.94200000000001</v>
      </c>
      <c r="H1461" s="403" t="s">
        <v>152</v>
      </c>
      <c r="I1461" s="404" t="s">
        <v>2425</v>
      </c>
      <c r="J1461" s="179" t="s">
        <v>97</v>
      </c>
      <c r="K1461" s="127" t="s">
        <v>1903</v>
      </c>
      <c r="L1461" s="179" t="s">
        <v>154</v>
      </c>
      <c r="M1461" s="127"/>
      <c r="N1461" s="127"/>
    </row>
    <row r="1462" spans="1:14" ht="15.6" hidden="1">
      <c r="A1462" s="374">
        <v>45883</v>
      </c>
      <c r="B1462" s="395" t="s">
        <v>2387</v>
      </c>
      <c r="C1462" s="395" t="s">
        <v>173</v>
      </c>
      <c r="D1462" s="395" t="s">
        <v>116</v>
      </c>
      <c r="E1462" s="405">
        <v>37000</v>
      </c>
      <c r="F1462" s="317">
        <f t="shared" si="13"/>
        <v>65.960473631854981</v>
      </c>
      <c r="G1462" s="318">
        <v>560.94200000000001</v>
      </c>
      <c r="H1462" s="174" t="s">
        <v>199</v>
      </c>
      <c r="I1462" s="395" t="s">
        <v>2422</v>
      </c>
      <c r="J1462" s="179" t="s">
        <v>97</v>
      </c>
      <c r="K1462" s="127" t="s">
        <v>1903</v>
      </c>
      <c r="L1462" s="179" t="s">
        <v>154</v>
      </c>
      <c r="M1462" s="127"/>
      <c r="N1462" s="127"/>
    </row>
    <row r="1463" spans="1:14" ht="15.6" hidden="1">
      <c r="A1463" s="374">
        <v>45883</v>
      </c>
      <c r="B1463" s="395" t="s">
        <v>2388</v>
      </c>
      <c r="C1463" s="395" t="s">
        <v>173</v>
      </c>
      <c r="D1463" s="395" t="s">
        <v>116</v>
      </c>
      <c r="E1463" s="405">
        <v>2000</v>
      </c>
      <c r="F1463" s="317">
        <f t="shared" si="13"/>
        <v>3.5654310071272963</v>
      </c>
      <c r="G1463" s="318">
        <v>560.94200000000001</v>
      </c>
      <c r="H1463" s="174" t="s">
        <v>199</v>
      </c>
      <c r="I1463" s="395" t="s">
        <v>2423</v>
      </c>
      <c r="J1463" s="179" t="s">
        <v>97</v>
      </c>
      <c r="K1463" s="127" t="s">
        <v>1903</v>
      </c>
      <c r="L1463" s="179" t="s">
        <v>154</v>
      </c>
      <c r="M1463" s="127"/>
      <c r="N1463" s="127"/>
    </row>
    <row r="1464" spans="1:14" ht="15.6" hidden="1">
      <c r="A1464" s="374">
        <v>45883</v>
      </c>
      <c r="B1464" s="395" t="s">
        <v>2389</v>
      </c>
      <c r="C1464" s="395" t="s">
        <v>173</v>
      </c>
      <c r="D1464" s="395" t="s">
        <v>116</v>
      </c>
      <c r="E1464" s="405">
        <v>500</v>
      </c>
      <c r="F1464" s="317">
        <f t="shared" si="13"/>
        <v>0.89135775178182408</v>
      </c>
      <c r="G1464" s="318">
        <v>560.94200000000001</v>
      </c>
      <c r="H1464" s="174" t="s">
        <v>199</v>
      </c>
      <c r="I1464" s="395" t="s">
        <v>2423</v>
      </c>
      <c r="J1464" s="179" t="s">
        <v>97</v>
      </c>
      <c r="K1464" s="127" t="s">
        <v>1903</v>
      </c>
      <c r="L1464" s="179" t="s">
        <v>154</v>
      </c>
      <c r="M1464" s="127"/>
      <c r="N1464" s="127"/>
    </row>
    <row r="1465" spans="1:14" ht="15.6" hidden="1">
      <c r="A1465" s="241">
        <v>45883</v>
      </c>
      <c r="B1465" s="174" t="s">
        <v>2390</v>
      </c>
      <c r="C1465" s="174" t="s">
        <v>2391</v>
      </c>
      <c r="D1465" s="174" t="s">
        <v>116</v>
      </c>
      <c r="E1465" s="406">
        <v>190000</v>
      </c>
      <c r="F1465" s="317">
        <f t="shared" si="13"/>
        <v>338.71594567709315</v>
      </c>
      <c r="G1465" s="318">
        <v>560.94200000000001</v>
      </c>
      <c r="H1465" s="174" t="s">
        <v>199</v>
      </c>
      <c r="I1465" s="174" t="s">
        <v>2424</v>
      </c>
      <c r="J1465" s="179" t="s">
        <v>97</v>
      </c>
      <c r="K1465" s="127" t="s">
        <v>1903</v>
      </c>
      <c r="L1465" s="179" t="s">
        <v>154</v>
      </c>
      <c r="M1465" s="127"/>
      <c r="N1465" s="127"/>
    </row>
    <row r="1466" spans="1:14" ht="15.6" hidden="1">
      <c r="A1466" s="378">
        <v>45883</v>
      </c>
      <c r="B1466" s="179" t="s">
        <v>2436</v>
      </c>
      <c r="C1466" s="179" t="s">
        <v>173</v>
      </c>
      <c r="D1466" s="179" t="s">
        <v>117</v>
      </c>
      <c r="E1466" s="332">
        <v>1000</v>
      </c>
      <c r="F1466" s="317">
        <f t="shared" si="13"/>
        <v>1.7827155035636482</v>
      </c>
      <c r="G1466" s="318">
        <v>560.94200000000001</v>
      </c>
      <c r="H1466" s="179" t="s">
        <v>583</v>
      </c>
      <c r="I1466" s="179" t="s">
        <v>2464</v>
      </c>
      <c r="J1466" s="179" t="s">
        <v>97</v>
      </c>
      <c r="K1466" s="127" t="s">
        <v>1903</v>
      </c>
      <c r="L1466" s="179" t="s">
        <v>154</v>
      </c>
      <c r="M1466" s="127"/>
      <c r="N1466" s="127"/>
    </row>
    <row r="1467" spans="1:14" ht="15.6" hidden="1">
      <c r="A1467" s="378">
        <v>45883</v>
      </c>
      <c r="B1467" s="179" t="s">
        <v>2437</v>
      </c>
      <c r="C1467" s="179" t="s">
        <v>173</v>
      </c>
      <c r="D1467" s="179" t="s">
        <v>117</v>
      </c>
      <c r="E1467" s="332">
        <v>1000</v>
      </c>
      <c r="F1467" s="317">
        <f t="shared" si="13"/>
        <v>1.7827155035636482</v>
      </c>
      <c r="G1467" s="318">
        <v>560.94200000000001</v>
      </c>
      <c r="H1467" s="179" t="s">
        <v>583</v>
      </c>
      <c r="I1467" s="179" t="s">
        <v>2464</v>
      </c>
      <c r="J1467" s="179" t="s">
        <v>97</v>
      </c>
      <c r="K1467" s="127" t="s">
        <v>1903</v>
      </c>
      <c r="L1467" s="179" t="s">
        <v>154</v>
      </c>
      <c r="M1467" s="127"/>
      <c r="N1467" s="127"/>
    </row>
    <row r="1468" spans="1:14" ht="15.6" hidden="1">
      <c r="A1468" s="378">
        <v>45883</v>
      </c>
      <c r="B1468" s="179" t="s">
        <v>2438</v>
      </c>
      <c r="C1468" s="179" t="s">
        <v>173</v>
      </c>
      <c r="D1468" s="179" t="s">
        <v>117</v>
      </c>
      <c r="E1468" s="332">
        <v>1000</v>
      </c>
      <c r="F1468" s="317">
        <f t="shared" si="13"/>
        <v>1.7827155035636482</v>
      </c>
      <c r="G1468" s="318">
        <v>560.94200000000001</v>
      </c>
      <c r="H1468" s="179" t="s">
        <v>583</v>
      </c>
      <c r="I1468" s="179" t="s">
        <v>2464</v>
      </c>
      <c r="J1468" s="179" t="s">
        <v>97</v>
      </c>
      <c r="K1468" s="127" t="s">
        <v>1903</v>
      </c>
      <c r="L1468" s="179" t="s">
        <v>154</v>
      </c>
      <c r="M1468" s="127"/>
      <c r="N1468" s="127"/>
    </row>
    <row r="1469" spans="1:14" ht="15.6" hidden="1">
      <c r="A1469" s="378">
        <v>45883</v>
      </c>
      <c r="B1469" s="179" t="s">
        <v>2439</v>
      </c>
      <c r="C1469" s="179" t="s">
        <v>173</v>
      </c>
      <c r="D1469" s="179" t="s">
        <v>117</v>
      </c>
      <c r="E1469" s="332">
        <v>1000</v>
      </c>
      <c r="F1469" s="317">
        <f t="shared" si="13"/>
        <v>1.7827155035636482</v>
      </c>
      <c r="G1469" s="318">
        <v>560.94200000000001</v>
      </c>
      <c r="H1469" s="179" t="s">
        <v>583</v>
      </c>
      <c r="I1469" s="179" t="s">
        <v>2464</v>
      </c>
      <c r="J1469" s="179" t="s">
        <v>97</v>
      </c>
      <c r="K1469" s="127" t="s">
        <v>1903</v>
      </c>
      <c r="L1469" s="179" t="s">
        <v>154</v>
      </c>
      <c r="M1469" s="127"/>
      <c r="N1469" s="127"/>
    </row>
    <row r="1470" spans="1:14" ht="15.6" hidden="1">
      <c r="A1470" s="381">
        <v>45883</v>
      </c>
      <c r="B1470" s="179" t="s">
        <v>2339</v>
      </c>
      <c r="C1470" s="179" t="s">
        <v>171</v>
      </c>
      <c r="D1470" s="179" t="s">
        <v>117</v>
      </c>
      <c r="E1470" s="332">
        <v>25000</v>
      </c>
      <c r="F1470" s="317">
        <f t="shared" si="13"/>
        <v>44.567887589091207</v>
      </c>
      <c r="G1470" s="318">
        <v>560.94200000000001</v>
      </c>
      <c r="H1470" s="399" t="s">
        <v>583</v>
      </c>
      <c r="I1470" s="399" t="s">
        <v>2340</v>
      </c>
      <c r="J1470" s="179" t="s">
        <v>97</v>
      </c>
      <c r="K1470" s="127" t="s">
        <v>1903</v>
      </c>
      <c r="L1470" s="179" t="s">
        <v>154</v>
      </c>
      <c r="M1470" s="127"/>
      <c r="N1470" s="127"/>
    </row>
    <row r="1471" spans="1:14" ht="15.6" hidden="1">
      <c r="A1471" s="241">
        <v>45883</v>
      </c>
      <c r="B1471" s="174" t="s">
        <v>3776</v>
      </c>
      <c r="C1471" s="174" t="s">
        <v>173</v>
      </c>
      <c r="D1471" s="179" t="s">
        <v>442</v>
      </c>
      <c r="E1471" s="174">
        <v>37000</v>
      </c>
      <c r="F1471" s="317">
        <f t="shared" si="13"/>
        <v>65.960473631854981</v>
      </c>
      <c r="G1471" s="318">
        <v>560.94200000000001</v>
      </c>
      <c r="H1471" s="174" t="s">
        <v>183</v>
      </c>
      <c r="I1471" s="174" t="s">
        <v>2475</v>
      </c>
      <c r="J1471" s="179" t="s">
        <v>97</v>
      </c>
      <c r="K1471" s="127" t="s">
        <v>1903</v>
      </c>
      <c r="L1471" s="179" t="s">
        <v>154</v>
      </c>
      <c r="M1471" s="127"/>
      <c r="N1471" s="127"/>
    </row>
    <row r="1472" spans="1:14" ht="15.6" hidden="1">
      <c r="A1472" s="241">
        <v>45883</v>
      </c>
      <c r="B1472" s="174" t="s">
        <v>3783</v>
      </c>
      <c r="C1472" s="174" t="s">
        <v>173</v>
      </c>
      <c r="D1472" s="179" t="s">
        <v>442</v>
      </c>
      <c r="E1472" s="174">
        <v>2500</v>
      </c>
      <c r="F1472" s="317">
        <f t="shared" si="13"/>
        <v>4.4567887589091209</v>
      </c>
      <c r="G1472" s="318">
        <v>560.94200000000001</v>
      </c>
      <c r="H1472" s="174" t="s">
        <v>183</v>
      </c>
      <c r="I1472" s="174" t="s">
        <v>2473</v>
      </c>
      <c r="J1472" s="179" t="s">
        <v>97</v>
      </c>
      <c r="K1472" s="127" t="s">
        <v>1903</v>
      </c>
      <c r="L1472" s="179" t="s">
        <v>154</v>
      </c>
      <c r="M1472" s="127"/>
      <c r="N1472" s="127"/>
    </row>
    <row r="1473" spans="1:14" ht="15.6" hidden="1">
      <c r="A1473" s="241">
        <v>45883</v>
      </c>
      <c r="B1473" s="174" t="s">
        <v>3761</v>
      </c>
      <c r="C1473" s="174" t="s">
        <v>176</v>
      </c>
      <c r="D1473" s="179" t="s">
        <v>442</v>
      </c>
      <c r="E1473" s="174">
        <v>180000</v>
      </c>
      <c r="F1473" s="317">
        <f t="shared" si="13"/>
        <v>320.88879064145669</v>
      </c>
      <c r="G1473" s="318">
        <v>560.94200000000001</v>
      </c>
      <c r="H1473" s="174" t="s">
        <v>183</v>
      </c>
      <c r="I1473" s="174" t="s">
        <v>2476</v>
      </c>
      <c r="J1473" s="179" t="s">
        <v>97</v>
      </c>
      <c r="K1473" s="127" t="s">
        <v>1903</v>
      </c>
      <c r="L1473" s="179" t="s">
        <v>154</v>
      </c>
      <c r="M1473" s="127"/>
      <c r="N1473" s="127"/>
    </row>
    <row r="1474" spans="1:14" ht="15.6" hidden="1">
      <c r="A1474" s="241">
        <v>45883</v>
      </c>
      <c r="B1474" s="174" t="s">
        <v>3784</v>
      </c>
      <c r="C1474" s="174" t="s">
        <v>173</v>
      </c>
      <c r="D1474" s="179" t="s">
        <v>442</v>
      </c>
      <c r="E1474" s="174">
        <v>1000</v>
      </c>
      <c r="F1474" s="317">
        <f t="shared" si="13"/>
        <v>1.7827155035636482</v>
      </c>
      <c r="G1474" s="318">
        <v>560.94200000000001</v>
      </c>
      <c r="H1474" s="174" t="s">
        <v>183</v>
      </c>
      <c r="I1474" s="174" t="s">
        <v>2473</v>
      </c>
      <c r="J1474" s="179" t="s">
        <v>97</v>
      </c>
      <c r="K1474" s="127" t="s">
        <v>1903</v>
      </c>
      <c r="L1474" s="179" t="s">
        <v>154</v>
      </c>
      <c r="M1474" s="127"/>
      <c r="N1474" s="127"/>
    </row>
    <row r="1475" spans="1:14" ht="15.6" hidden="1">
      <c r="A1475" s="379">
        <v>45883</v>
      </c>
      <c r="B1475" s="179" t="s">
        <v>3875</v>
      </c>
      <c r="C1475" s="179" t="s">
        <v>173</v>
      </c>
      <c r="D1475" s="179" t="s">
        <v>442</v>
      </c>
      <c r="E1475" s="179">
        <v>37000</v>
      </c>
      <c r="F1475" s="317">
        <f t="shared" si="13"/>
        <v>65.960473631854981</v>
      </c>
      <c r="G1475" s="318">
        <v>560.94200000000001</v>
      </c>
      <c r="H1475" s="179" t="s">
        <v>174</v>
      </c>
      <c r="I1475" s="179" t="s">
        <v>2496</v>
      </c>
      <c r="J1475" s="179" t="s">
        <v>97</v>
      </c>
      <c r="K1475" s="127" t="s">
        <v>1903</v>
      </c>
      <c r="L1475" s="179" t="s">
        <v>154</v>
      </c>
      <c r="M1475" s="76"/>
      <c r="N1475" s="76"/>
    </row>
    <row r="1476" spans="1:14" ht="15.6" hidden="1">
      <c r="A1476" s="379">
        <v>45883</v>
      </c>
      <c r="B1476" s="179" t="s">
        <v>3885</v>
      </c>
      <c r="C1476" s="179" t="s">
        <v>2391</v>
      </c>
      <c r="D1476" s="179" t="s">
        <v>442</v>
      </c>
      <c r="E1476" s="179">
        <v>180000</v>
      </c>
      <c r="F1476" s="317">
        <f t="shared" si="13"/>
        <v>320.88879064145669</v>
      </c>
      <c r="G1476" s="318">
        <v>560.94200000000001</v>
      </c>
      <c r="H1476" s="179" t="s">
        <v>174</v>
      </c>
      <c r="I1476" s="179" t="s">
        <v>2497</v>
      </c>
      <c r="J1476" s="179" t="s">
        <v>97</v>
      </c>
      <c r="K1476" s="127" t="s">
        <v>1903</v>
      </c>
      <c r="L1476" s="179" t="s">
        <v>154</v>
      </c>
      <c r="M1476" s="76"/>
      <c r="N1476" s="76"/>
    </row>
    <row r="1477" spans="1:14" ht="15.6" hidden="1">
      <c r="A1477" s="379">
        <v>45883</v>
      </c>
      <c r="B1477" s="179" t="s">
        <v>3898</v>
      </c>
      <c r="C1477" s="179" t="s">
        <v>1007</v>
      </c>
      <c r="D1477" s="179" t="s">
        <v>442</v>
      </c>
      <c r="E1477" s="179">
        <v>2000</v>
      </c>
      <c r="F1477" s="317">
        <f t="shared" si="13"/>
        <v>3.5654310071272963</v>
      </c>
      <c r="G1477" s="318">
        <v>560.94200000000001</v>
      </c>
      <c r="H1477" s="179" t="s">
        <v>174</v>
      </c>
      <c r="I1477" s="179" t="s">
        <v>2494</v>
      </c>
      <c r="J1477" s="179" t="s">
        <v>97</v>
      </c>
      <c r="K1477" s="127" t="s">
        <v>1903</v>
      </c>
      <c r="L1477" s="179" t="s">
        <v>154</v>
      </c>
      <c r="M1477" s="76"/>
      <c r="N1477" s="76"/>
    </row>
    <row r="1478" spans="1:14" ht="15.6" hidden="1">
      <c r="A1478" s="379">
        <v>45883</v>
      </c>
      <c r="B1478" s="179" t="s">
        <v>3899</v>
      </c>
      <c r="C1478" s="179" t="s">
        <v>1007</v>
      </c>
      <c r="D1478" s="179" t="s">
        <v>442</v>
      </c>
      <c r="E1478" s="179">
        <v>500</v>
      </c>
      <c r="F1478" s="317">
        <f t="shared" si="13"/>
        <v>0.89135775178182408</v>
      </c>
      <c r="G1478" s="318">
        <v>560.94200000000001</v>
      </c>
      <c r="H1478" s="179" t="s">
        <v>174</v>
      </c>
      <c r="I1478" s="179" t="s">
        <v>2494</v>
      </c>
      <c r="J1478" s="179" t="s">
        <v>97</v>
      </c>
      <c r="K1478" s="127" t="s">
        <v>1903</v>
      </c>
      <c r="L1478" s="179" t="s">
        <v>154</v>
      </c>
      <c r="M1478" s="76"/>
      <c r="N1478" s="76"/>
    </row>
    <row r="1479" spans="1:14" ht="15.6" hidden="1">
      <c r="A1479" s="375">
        <v>45883</v>
      </c>
      <c r="B1479" s="179" t="s">
        <v>2660</v>
      </c>
      <c r="C1479" s="396" t="s">
        <v>195</v>
      </c>
      <c r="D1479" s="396" t="s">
        <v>116</v>
      </c>
      <c r="E1479" s="369">
        <v>37000</v>
      </c>
      <c r="F1479" s="317">
        <f t="shared" si="13"/>
        <v>65.960473631854981</v>
      </c>
      <c r="G1479" s="318">
        <v>560.94200000000001</v>
      </c>
      <c r="H1479" s="256" t="s">
        <v>196</v>
      </c>
      <c r="I1479" s="179" t="s">
        <v>2706</v>
      </c>
      <c r="J1479" s="179" t="s">
        <v>97</v>
      </c>
      <c r="K1479" s="127" t="s">
        <v>1903</v>
      </c>
      <c r="L1479" s="179" t="s">
        <v>154</v>
      </c>
      <c r="M1479" s="76"/>
      <c r="N1479" s="76"/>
    </row>
    <row r="1480" spans="1:14" ht="15.6" hidden="1">
      <c r="A1480" s="375">
        <v>45883</v>
      </c>
      <c r="B1480" s="179" t="s">
        <v>2661</v>
      </c>
      <c r="C1480" s="396" t="s">
        <v>195</v>
      </c>
      <c r="D1480" s="396" t="s">
        <v>116</v>
      </c>
      <c r="E1480" s="369">
        <v>2500</v>
      </c>
      <c r="F1480" s="317">
        <f t="shared" si="13"/>
        <v>4.4567887589091209</v>
      </c>
      <c r="G1480" s="318">
        <v>560.94200000000001</v>
      </c>
      <c r="H1480" s="256" t="s">
        <v>196</v>
      </c>
      <c r="I1480" s="179" t="s">
        <v>2707</v>
      </c>
      <c r="J1480" s="179" t="s">
        <v>97</v>
      </c>
      <c r="K1480" s="127" t="s">
        <v>1903</v>
      </c>
      <c r="L1480" s="179" t="s">
        <v>154</v>
      </c>
      <c r="M1480" s="76"/>
      <c r="N1480" s="76"/>
    </row>
    <row r="1481" spans="1:14" ht="15.6" hidden="1">
      <c r="A1481" s="375">
        <v>45883</v>
      </c>
      <c r="B1481" s="179" t="s">
        <v>2662</v>
      </c>
      <c r="C1481" s="396" t="s">
        <v>195</v>
      </c>
      <c r="D1481" s="396" t="s">
        <v>116</v>
      </c>
      <c r="E1481" s="369">
        <v>500</v>
      </c>
      <c r="F1481" s="317">
        <f t="shared" si="13"/>
        <v>0.89135775178182408</v>
      </c>
      <c r="G1481" s="318">
        <v>560.94200000000001</v>
      </c>
      <c r="H1481" s="256" t="s">
        <v>196</v>
      </c>
      <c r="I1481" s="179" t="s">
        <v>2707</v>
      </c>
      <c r="J1481" s="179" t="s">
        <v>97</v>
      </c>
      <c r="K1481" s="127" t="s">
        <v>1903</v>
      </c>
      <c r="L1481" s="179" t="s">
        <v>154</v>
      </c>
      <c r="M1481" s="76"/>
      <c r="N1481" s="76"/>
    </row>
    <row r="1482" spans="1:14" ht="15.6" hidden="1">
      <c r="A1482" s="375">
        <v>45883</v>
      </c>
      <c r="B1482" s="179" t="s">
        <v>2663</v>
      </c>
      <c r="C1482" s="179" t="s">
        <v>176</v>
      </c>
      <c r="D1482" s="179" t="s">
        <v>116</v>
      </c>
      <c r="E1482" s="369">
        <v>190000</v>
      </c>
      <c r="F1482" s="317">
        <f t="shared" si="13"/>
        <v>338.71594567709315</v>
      </c>
      <c r="G1482" s="318">
        <v>560.94200000000001</v>
      </c>
      <c r="H1482" s="256" t="s">
        <v>196</v>
      </c>
      <c r="I1482" s="179" t="s">
        <v>2708</v>
      </c>
      <c r="J1482" s="179" t="s">
        <v>97</v>
      </c>
      <c r="K1482" s="127" t="s">
        <v>1903</v>
      </c>
      <c r="L1482" s="179" t="s">
        <v>154</v>
      </c>
      <c r="M1482" s="76"/>
      <c r="N1482" s="76"/>
    </row>
    <row r="1483" spans="1:14" ht="15.6" hidden="1">
      <c r="A1483" s="376">
        <v>45883</v>
      </c>
      <c r="B1483" s="179" t="s">
        <v>2719</v>
      </c>
      <c r="C1483" s="179" t="s">
        <v>173</v>
      </c>
      <c r="D1483" s="179" t="s">
        <v>119</v>
      </c>
      <c r="E1483" s="369">
        <v>37000</v>
      </c>
      <c r="F1483" s="317">
        <f t="shared" si="13"/>
        <v>65.960473631854981</v>
      </c>
      <c r="G1483" s="318">
        <v>560.94200000000001</v>
      </c>
      <c r="H1483" s="179" t="s">
        <v>212</v>
      </c>
      <c r="I1483" s="179" t="s">
        <v>2740</v>
      </c>
      <c r="J1483" s="179" t="s">
        <v>97</v>
      </c>
      <c r="K1483" s="127" t="s">
        <v>1903</v>
      </c>
      <c r="L1483" s="179" t="s">
        <v>154</v>
      </c>
      <c r="M1483" s="76"/>
      <c r="N1483" s="76"/>
    </row>
    <row r="1484" spans="1:14" ht="15.6" hidden="1">
      <c r="A1484" s="376">
        <v>45883</v>
      </c>
      <c r="B1484" s="179" t="s">
        <v>2721</v>
      </c>
      <c r="C1484" s="179" t="s">
        <v>173</v>
      </c>
      <c r="D1484" s="179" t="s">
        <v>119</v>
      </c>
      <c r="E1484" s="369">
        <v>1000</v>
      </c>
      <c r="F1484" s="317">
        <f t="shared" si="13"/>
        <v>1.7827155035636482</v>
      </c>
      <c r="G1484" s="318">
        <v>560.94200000000001</v>
      </c>
      <c r="H1484" s="179" t="s">
        <v>212</v>
      </c>
      <c r="I1484" s="179" t="s">
        <v>2739</v>
      </c>
      <c r="J1484" s="179" t="s">
        <v>97</v>
      </c>
      <c r="K1484" s="127" t="s">
        <v>1903</v>
      </c>
      <c r="L1484" s="179" t="s">
        <v>154</v>
      </c>
      <c r="M1484" s="76"/>
      <c r="N1484" s="76"/>
    </row>
    <row r="1485" spans="1:14" ht="15.6" hidden="1">
      <c r="A1485" s="376">
        <v>45883</v>
      </c>
      <c r="B1485" s="179" t="s">
        <v>2722</v>
      </c>
      <c r="C1485" s="179" t="s">
        <v>173</v>
      </c>
      <c r="D1485" s="179" t="s">
        <v>119</v>
      </c>
      <c r="E1485" s="369">
        <v>500</v>
      </c>
      <c r="F1485" s="317">
        <f t="shared" si="13"/>
        <v>0.89135775178182408</v>
      </c>
      <c r="G1485" s="318">
        <v>560.94200000000001</v>
      </c>
      <c r="H1485" s="179" t="s">
        <v>212</v>
      </c>
      <c r="I1485" s="179" t="s">
        <v>2739</v>
      </c>
      <c r="J1485" s="179" t="s">
        <v>97</v>
      </c>
      <c r="K1485" s="127" t="s">
        <v>1903</v>
      </c>
      <c r="L1485" s="179" t="s">
        <v>154</v>
      </c>
      <c r="M1485" s="76"/>
      <c r="N1485" s="76"/>
    </row>
    <row r="1486" spans="1:14" ht="15.6" hidden="1">
      <c r="A1486" s="376">
        <v>45883</v>
      </c>
      <c r="B1486" s="179" t="s">
        <v>2723</v>
      </c>
      <c r="C1486" s="179" t="s">
        <v>176</v>
      </c>
      <c r="D1486" s="179" t="s">
        <v>119</v>
      </c>
      <c r="E1486" s="369">
        <v>200000</v>
      </c>
      <c r="F1486" s="317">
        <f t="shared" si="13"/>
        <v>356.54310071272965</v>
      </c>
      <c r="G1486" s="318">
        <v>560.94200000000001</v>
      </c>
      <c r="H1486" s="179" t="s">
        <v>212</v>
      </c>
      <c r="I1486" s="179" t="s">
        <v>2741</v>
      </c>
      <c r="J1486" s="179" t="s">
        <v>97</v>
      </c>
      <c r="K1486" s="127" t="s">
        <v>1903</v>
      </c>
      <c r="L1486" s="179" t="s">
        <v>154</v>
      </c>
      <c r="M1486" s="76"/>
      <c r="N1486" s="76"/>
    </row>
    <row r="1487" spans="1:14" ht="15.6" hidden="1">
      <c r="A1487" s="376">
        <v>45883</v>
      </c>
      <c r="B1487" s="179" t="s">
        <v>2747</v>
      </c>
      <c r="C1487" s="179" t="s">
        <v>173</v>
      </c>
      <c r="D1487" s="179" t="s">
        <v>116</v>
      </c>
      <c r="E1487" s="179">
        <v>1500</v>
      </c>
      <c r="F1487" s="317">
        <f t="shared" si="13"/>
        <v>2.6740732553454722</v>
      </c>
      <c r="G1487" s="318">
        <v>560.94200000000001</v>
      </c>
      <c r="H1487" s="179" t="s">
        <v>186</v>
      </c>
      <c r="I1487" s="179" t="s">
        <v>2759</v>
      </c>
      <c r="J1487" s="179" t="s">
        <v>97</v>
      </c>
      <c r="K1487" s="127" t="s">
        <v>1903</v>
      </c>
      <c r="L1487" s="179" t="s">
        <v>154</v>
      </c>
      <c r="M1487" s="76"/>
      <c r="N1487" s="76"/>
    </row>
    <row r="1488" spans="1:14" ht="15.6" hidden="1">
      <c r="A1488" s="376">
        <v>45883</v>
      </c>
      <c r="B1488" s="179" t="s">
        <v>2748</v>
      </c>
      <c r="C1488" s="179" t="s">
        <v>173</v>
      </c>
      <c r="D1488" s="179" t="s">
        <v>116</v>
      </c>
      <c r="E1488" s="179">
        <v>1500</v>
      </c>
      <c r="F1488" s="317">
        <f t="shared" si="13"/>
        <v>2.6740732553454722</v>
      </c>
      <c r="G1488" s="318">
        <v>560.94200000000001</v>
      </c>
      <c r="H1488" s="179" t="s">
        <v>186</v>
      </c>
      <c r="I1488" s="179" t="s">
        <v>2759</v>
      </c>
      <c r="J1488" s="179" t="s">
        <v>97</v>
      </c>
      <c r="K1488" s="127" t="s">
        <v>1903</v>
      </c>
      <c r="L1488" s="179" t="s">
        <v>154</v>
      </c>
      <c r="M1488" s="76"/>
      <c r="N1488" s="76"/>
    </row>
    <row r="1489" spans="1:14" ht="15.6" hidden="1">
      <c r="A1489" s="386">
        <v>45883</v>
      </c>
      <c r="B1489" s="328" t="s">
        <v>2766</v>
      </c>
      <c r="C1489" s="336" t="s">
        <v>126</v>
      </c>
      <c r="D1489" s="341" t="s">
        <v>118</v>
      </c>
      <c r="E1489" s="332">
        <v>1311000</v>
      </c>
      <c r="F1489" s="317">
        <f t="shared" si="13"/>
        <v>2337.1400251719429</v>
      </c>
      <c r="G1489" s="318">
        <v>560.94200000000001</v>
      </c>
      <c r="H1489" s="179" t="s">
        <v>147</v>
      </c>
      <c r="I1489" s="179" t="s">
        <v>2785</v>
      </c>
      <c r="J1489" s="179" t="s">
        <v>97</v>
      </c>
      <c r="K1489" s="127" t="s">
        <v>1903</v>
      </c>
      <c r="L1489" s="179" t="s">
        <v>154</v>
      </c>
      <c r="M1489" s="76"/>
      <c r="N1489" s="76"/>
    </row>
    <row r="1490" spans="1:14" ht="15.6" hidden="1">
      <c r="A1490" s="385">
        <v>45883</v>
      </c>
      <c r="B1490" s="328" t="s">
        <v>2767</v>
      </c>
      <c r="C1490" s="179" t="s">
        <v>122</v>
      </c>
      <c r="D1490" s="179" t="s">
        <v>116</v>
      </c>
      <c r="E1490" s="332">
        <v>300000</v>
      </c>
      <c r="F1490" s="317">
        <f t="shared" si="13"/>
        <v>534.81465106909445</v>
      </c>
      <c r="G1490" s="318">
        <v>560.94200000000001</v>
      </c>
      <c r="H1490" s="179" t="s">
        <v>147</v>
      </c>
      <c r="I1490" s="179" t="s">
        <v>2786</v>
      </c>
      <c r="J1490" s="179" t="s">
        <v>97</v>
      </c>
      <c r="K1490" s="127" t="s">
        <v>1903</v>
      </c>
      <c r="L1490" s="179" t="s">
        <v>154</v>
      </c>
      <c r="M1490" s="76"/>
      <c r="N1490" s="76"/>
    </row>
    <row r="1491" spans="1:14" ht="15.6" hidden="1">
      <c r="A1491" s="241">
        <v>45884</v>
      </c>
      <c r="B1491" s="174" t="s">
        <v>2392</v>
      </c>
      <c r="C1491" s="174" t="s">
        <v>2391</v>
      </c>
      <c r="D1491" s="174" t="s">
        <v>116</v>
      </c>
      <c r="E1491" s="406">
        <v>15000</v>
      </c>
      <c r="F1491" s="317">
        <f t="shared" si="13"/>
        <v>26.740732553454723</v>
      </c>
      <c r="G1491" s="318">
        <v>560.94200000000001</v>
      </c>
      <c r="H1491" s="174" t="s">
        <v>199</v>
      </c>
      <c r="I1491" s="395" t="s">
        <v>2838</v>
      </c>
      <c r="J1491" s="179" t="s">
        <v>97</v>
      </c>
      <c r="K1491" s="127" t="s">
        <v>1903</v>
      </c>
      <c r="L1491" s="179" t="s">
        <v>154</v>
      </c>
      <c r="M1491" s="127"/>
      <c r="N1491" s="127"/>
    </row>
    <row r="1492" spans="1:14" ht="15.6" hidden="1">
      <c r="A1492" s="374">
        <v>45884</v>
      </c>
      <c r="B1492" s="395" t="s">
        <v>2393</v>
      </c>
      <c r="C1492" s="395" t="s">
        <v>173</v>
      </c>
      <c r="D1492" s="395" t="s">
        <v>116</v>
      </c>
      <c r="E1492" s="405">
        <v>500</v>
      </c>
      <c r="F1492" s="317">
        <f t="shared" si="13"/>
        <v>0.89135775178182408</v>
      </c>
      <c r="G1492" s="318">
        <v>560.94200000000001</v>
      </c>
      <c r="H1492" s="174" t="s">
        <v>199</v>
      </c>
      <c r="I1492" s="395" t="s">
        <v>2423</v>
      </c>
      <c r="J1492" s="179" t="s">
        <v>97</v>
      </c>
      <c r="K1492" s="127" t="s">
        <v>1903</v>
      </c>
      <c r="L1492" s="179" t="s">
        <v>154</v>
      </c>
      <c r="M1492" s="127"/>
      <c r="N1492" s="127"/>
    </row>
    <row r="1493" spans="1:14" ht="15.6" hidden="1">
      <c r="A1493" s="374">
        <v>45884</v>
      </c>
      <c r="B1493" s="395" t="s">
        <v>2394</v>
      </c>
      <c r="C1493" s="395" t="s">
        <v>173</v>
      </c>
      <c r="D1493" s="395" t="s">
        <v>116</v>
      </c>
      <c r="E1493" s="405">
        <v>500</v>
      </c>
      <c r="F1493" s="317">
        <f t="shared" si="13"/>
        <v>0.89135775178182408</v>
      </c>
      <c r="G1493" s="318">
        <v>560.94200000000001</v>
      </c>
      <c r="H1493" s="174" t="s">
        <v>199</v>
      </c>
      <c r="I1493" s="395" t="s">
        <v>2423</v>
      </c>
      <c r="J1493" s="179" t="s">
        <v>97</v>
      </c>
      <c r="K1493" s="127" t="s">
        <v>1903</v>
      </c>
      <c r="L1493" s="179" t="s">
        <v>154</v>
      </c>
      <c r="M1493" s="127"/>
      <c r="N1493" s="127"/>
    </row>
    <row r="1494" spans="1:14" ht="15.6" hidden="1">
      <c r="A1494" s="375">
        <v>45884</v>
      </c>
      <c r="B1494" s="179" t="s">
        <v>2395</v>
      </c>
      <c r="C1494" s="396" t="s">
        <v>151</v>
      </c>
      <c r="D1494" s="396" t="s">
        <v>116</v>
      </c>
      <c r="E1494" s="405">
        <v>5000</v>
      </c>
      <c r="F1494" s="317">
        <f t="shared" si="13"/>
        <v>8.9135775178182417</v>
      </c>
      <c r="G1494" s="318">
        <v>560.94200000000001</v>
      </c>
      <c r="H1494" s="174" t="s">
        <v>199</v>
      </c>
      <c r="I1494" s="395" t="s">
        <v>2839</v>
      </c>
      <c r="J1494" s="179" t="s">
        <v>97</v>
      </c>
      <c r="K1494" s="127" t="s">
        <v>1903</v>
      </c>
      <c r="L1494" s="179" t="s">
        <v>154</v>
      </c>
      <c r="M1494" s="127"/>
      <c r="N1494" s="127"/>
    </row>
    <row r="1495" spans="1:14" ht="15.6" hidden="1">
      <c r="A1495" s="378">
        <v>45884</v>
      </c>
      <c r="B1495" s="179" t="s">
        <v>2440</v>
      </c>
      <c r="C1495" s="179" t="s">
        <v>173</v>
      </c>
      <c r="D1495" s="179" t="s">
        <v>117</v>
      </c>
      <c r="E1495" s="332">
        <v>1500</v>
      </c>
      <c r="F1495" s="317">
        <f t="shared" si="13"/>
        <v>2.6740732553454722</v>
      </c>
      <c r="G1495" s="318">
        <v>560.94200000000001</v>
      </c>
      <c r="H1495" s="179" t="s">
        <v>583</v>
      </c>
      <c r="I1495" s="179" t="s">
        <v>2464</v>
      </c>
      <c r="J1495" s="179" t="s">
        <v>97</v>
      </c>
      <c r="K1495" s="127" t="s">
        <v>1903</v>
      </c>
      <c r="L1495" s="179" t="s">
        <v>154</v>
      </c>
      <c r="M1495" s="127"/>
      <c r="N1495" s="127"/>
    </row>
    <row r="1496" spans="1:14" ht="15.6" hidden="1">
      <c r="A1496" s="378">
        <v>45884</v>
      </c>
      <c r="B1496" s="179" t="s">
        <v>2441</v>
      </c>
      <c r="C1496" s="179" t="s">
        <v>173</v>
      </c>
      <c r="D1496" s="179" t="s">
        <v>117</v>
      </c>
      <c r="E1496" s="332">
        <v>1500</v>
      </c>
      <c r="F1496" s="317">
        <f t="shared" si="13"/>
        <v>2.6740732553454722</v>
      </c>
      <c r="G1496" s="318">
        <v>560.94200000000001</v>
      </c>
      <c r="H1496" s="179" t="s">
        <v>583</v>
      </c>
      <c r="I1496" s="179" t="s">
        <v>2464</v>
      </c>
      <c r="J1496" s="179" t="s">
        <v>97</v>
      </c>
      <c r="K1496" s="127" t="s">
        <v>1903</v>
      </c>
      <c r="L1496" s="179" t="s">
        <v>154</v>
      </c>
      <c r="M1496" s="127"/>
      <c r="N1496" s="127"/>
    </row>
    <row r="1497" spans="1:14" ht="15.6" hidden="1">
      <c r="A1497" s="241">
        <v>45884</v>
      </c>
      <c r="B1497" s="174" t="s">
        <v>3785</v>
      </c>
      <c r="C1497" s="174" t="s">
        <v>173</v>
      </c>
      <c r="D1497" s="179" t="s">
        <v>442</v>
      </c>
      <c r="E1497" s="174">
        <v>1000</v>
      </c>
      <c r="F1497" s="317">
        <f t="shared" si="13"/>
        <v>1.7827155035636482</v>
      </c>
      <c r="G1497" s="318">
        <v>560.94200000000001</v>
      </c>
      <c r="H1497" s="174" t="s">
        <v>183</v>
      </c>
      <c r="I1497" s="174" t="s">
        <v>2473</v>
      </c>
      <c r="J1497" s="179" t="s">
        <v>97</v>
      </c>
      <c r="K1497" s="127" t="s">
        <v>1903</v>
      </c>
      <c r="L1497" s="179" t="s">
        <v>154</v>
      </c>
      <c r="M1497" s="127"/>
      <c r="N1497" s="127"/>
    </row>
    <row r="1498" spans="1:14" ht="15.6" hidden="1">
      <c r="A1498" s="241">
        <v>45884</v>
      </c>
      <c r="B1498" s="174" t="s">
        <v>3770</v>
      </c>
      <c r="C1498" s="174" t="s">
        <v>176</v>
      </c>
      <c r="D1498" s="179" t="s">
        <v>442</v>
      </c>
      <c r="E1498" s="174">
        <v>15000</v>
      </c>
      <c r="F1498" s="317">
        <f t="shared" si="13"/>
        <v>26.740732553454723</v>
      </c>
      <c r="G1498" s="318">
        <v>560.94200000000001</v>
      </c>
      <c r="H1498" s="174" t="s">
        <v>183</v>
      </c>
      <c r="I1498" s="174" t="s">
        <v>2477</v>
      </c>
      <c r="J1498" s="179" t="s">
        <v>97</v>
      </c>
      <c r="K1498" s="127" t="s">
        <v>1903</v>
      </c>
      <c r="L1498" s="179" t="s">
        <v>154</v>
      </c>
      <c r="M1498" s="127"/>
      <c r="N1498" s="127"/>
    </row>
    <row r="1499" spans="1:14" ht="15.6" hidden="1">
      <c r="A1499" s="241">
        <v>45884</v>
      </c>
      <c r="B1499" s="174" t="s">
        <v>3786</v>
      </c>
      <c r="C1499" s="174" t="s">
        <v>173</v>
      </c>
      <c r="D1499" s="179" t="s">
        <v>442</v>
      </c>
      <c r="E1499" s="174">
        <v>1000</v>
      </c>
      <c r="F1499" s="317">
        <f t="shared" si="13"/>
        <v>1.7827155035636482</v>
      </c>
      <c r="G1499" s="318">
        <v>560.94200000000001</v>
      </c>
      <c r="H1499" s="174" t="s">
        <v>183</v>
      </c>
      <c r="I1499" s="174" t="s">
        <v>2473</v>
      </c>
      <c r="J1499" s="179" t="s">
        <v>97</v>
      </c>
      <c r="K1499" s="127" t="s">
        <v>1903</v>
      </c>
      <c r="L1499" s="179" t="s">
        <v>154</v>
      </c>
      <c r="M1499" s="127"/>
      <c r="N1499" s="127"/>
    </row>
    <row r="1500" spans="1:14" ht="15.6" hidden="1">
      <c r="A1500" s="241">
        <v>45884</v>
      </c>
      <c r="B1500" s="174" t="s">
        <v>2467</v>
      </c>
      <c r="C1500" s="174" t="s">
        <v>151</v>
      </c>
      <c r="D1500" s="179" t="s">
        <v>442</v>
      </c>
      <c r="E1500" s="174">
        <v>5000</v>
      </c>
      <c r="F1500" s="317">
        <f t="shared" si="13"/>
        <v>8.9135775178182417</v>
      </c>
      <c r="G1500" s="318">
        <v>560.94200000000001</v>
      </c>
      <c r="H1500" s="174" t="s">
        <v>183</v>
      </c>
      <c r="I1500" s="174" t="s">
        <v>2478</v>
      </c>
      <c r="J1500" s="179" t="s">
        <v>97</v>
      </c>
      <c r="K1500" s="127" t="s">
        <v>1903</v>
      </c>
      <c r="L1500" s="179" t="s">
        <v>154</v>
      </c>
      <c r="M1500" s="127"/>
      <c r="N1500" s="127"/>
    </row>
    <row r="1501" spans="1:14" ht="15.6" hidden="1">
      <c r="A1501" s="379">
        <v>45884</v>
      </c>
      <c r="B1501" s="179" t="s">
        <v>3871</v>
      </c>
      <c r="C1501" s="179" t="s">
        <v>2391</v>
      </c>
      <c r="D1501" s="179" t="s">
        <v>442</v>
      </c>
      <c r="E1501" s="179">
        <v>15000</v>
      </c>
      <c r="F1501" s="317">
        <f t="shared" si="13"/>
        <v>26.740732553454723</v>
      </c>
      <c r="G1501" s="318">
        <v>560.94200000000001</v>
      </c>
      <c r="H1501" s="179" t="s">
        <v>174</v>
      </c>
      <c r="I1501" s="179" t="s">
        <v>2498</v>
      </c>
      <c r="J1501" s="179" t="s">
        <v>97</v>
      </c>
      <c r="K1501" s="127" t="s">
        <v>1903</v>
      </c>
      <c r="L1501" s="179" t="s">
        <v>154</v>
      </c>
      <c r="M1501" s="76"/>
      <c r="N1501" s="76"/>
    </row>
    <row r="1502" spans="1:14" ht="15.6" hidden="1">
      <c r="A1502" s="379">
        <v>45884</v>
      </c>
      <c r="B1502" s="179" t="s">
        <v>3900</v>
      </c>
      <c r="C1502" s="179" t="s">
        <v>173</v>
      </c>
      <c r="D1502" s="179" t="s">
        <v>442</v>
      </c>
      <c r="E1502" s="179">
        <v>500</v>
      </c>
      <c r="F1502" s="317">
        <f t="shared" si="13"/>
        <v>0.89135775178182408</v>
      </c>
      <c r="G1502" s="318">
        <v>560.94200000000001</v>
      </c>
      <c r="H1502" s="179" t="s">
        <v>174</v>
      </c>
      <c r="I1502" s="179" t="s">
        <v>2494</v>
      </c>
      <c r="J1502" s="179" t="s">
        <v>97</v>
      </c>
      <c r="K1502" s="127" t="s">
        <v>1903</v>
      </c>
      <c r="L1502" s="179" t="s">
        <v>154</v>
      </c>
      <c r="M1502" s="76"/>
      <c r="N1502" s="76"/>
    </row>
    <row r="1503" spans="1:14" ht="15.6" hidden="1">
      <c r="A1503" s="379">
        <v>45884</v>
      </c>
      <c r="B1503" s="179" t="s">
        <v>3901</v>
      </c>
      <c r="C1503" s="179" t="s">
        <v>173</v>
      </c>
      <c r="D1503" s="179" t="s">
        <v>442</v>
      </c>
      <c r="E1503" s="179">
        <v>500</v>
      </c>
      <c r="F1503" s="317">
        <f t="shared" si="13"/>
        <v>0.89135775178182408</v>
      </c>
      <c r="G1503" s="318">
        <v>560.94200000000001</v>
      </c>
      <c r="H1503" s="179" t="s">
        <v>174</v>
      </c>
      <c r="I1503" s="179" t="s">
        <v>2494</v>
      </c>
      <c r="J1503" s="179" t="s">
        <v>97</v>
      </c>
      <c r="K1503" s="127" t="s">
        <v>1903</v>
      </c>
      <c r="L1503" s="179" t="s">
        <v>154</v>
      </c>
      <c r="M1503" s="76"/>
      <c r="N1503" s="76"/>
    </row>
    <row r="1504" spans="1:14" ht="15.6" hidden="1">
      <c r="A1504" s="379">
        <v>45884</v>
      </c>
      <c r="B1504" s="174" t="s">
        <v>2491</v>
      </c>
      <c r="C1504" s="174" t="s">
        <v>151</v>
      </c>
      <c r="D1504" s="179" t="s">
        <v>442</v>
      </c>
      <c r="E1504" s="179">
        <v>5000</v>
      </c>
      <c r="F1504" s="317">
        <f t="shared" ref="F1504:F1567" si="14">E1504/G1504</f>
        <v>8.9135775178182417</v>
      </c>
      <c r="G1504" s="318">
        <v>560.94200000000001</v>
      </c>
      <c r="H1504" s="179" t="s">
        <v>174</v>
      </c>
      <c r="I1504" s="179" t="s">
        <v>2499</v>
      </c>
      <c r="J1504" s="179" t="s">
        <v>97</v>
      </c>
      <c r="K1504" s="127" t="s">
        <v>1903</v>
      </c>
      <c r="L1504" s="179" t="s">
        <v>154</v>
      </c>
      <c r="M1504" s="76"/>
      <c r="N1504" s="76"/>
    </row>
    <row r="1505" spans="1:14" ht="15.6" hidden="1">
      <c r="A1505" s="375">
        <v>45884</v>
      </c>
      <c r="B1505" s="179" t="s">
        <v>2664</v>
      </c>
      <c r="C1505" s="179" t="s">
        <v>176</v>
      </c>
      <c r="D1505" s="179" t="s">
        <v>116</v>
      </c>
      <c r="E1505" s="369">
        <v>15000</v>
      </c>
      <c r="F1505" s="317">
        <f t="shared" si="14"/>
        <v>26.740732553454723</v>
      </c>
      <c r="G1505" s="318">
        <v>560.94200000000001</v>
      </c>
      <c r="H1505" s="256" t="s">
        <v>196</v>
      </c>
      <c r="I1505" s="179" t="s">
        <v>2709</v>
      </c>
      <c r="J1505" s="179" t="s">
        <v>97</v>
      </c>
      <c r="K1505" s="127" t="s">
        <v>1903</v>
      </c>
      <c r="L1505" s="179" t="s">
        <v>154</v>
      </c>
      <c r="M1505" s="76"/>
      <c r="N1505" s="76"/>
    </row>
    <row r="1506" spans="1:14" ht="15.6" hidden="1">
      <c r="A1506" s="375">
        <v>45884</v>
      </c>
      <c r="B1506" s="179" t="s">
        <v>2665</v>
      </c>
      <c r="C1506" s="396" t="s">
        <v>195</v>
      </c>
      <c r="D1506" s="396" t="s">
        <v>116</v>
      </c>
      <c r="E1506" s="369">
        <v>500</v>
      </c>
      <c r="F1506" s="317">
        <f t="shared" si="14"/>
        <v>0.89135775178182408</v>
      </c>
      <c r="G1506" s="318">
        <v>560.94200000000001</v>
      </c>
      <c r="H1506" s="256" t="s">
        <v>196</v>
      </c>
      <c r="I1506" s="179" t="s">
        <v>2707</v>
      </c>
      <c r="J1506" s="179" t="s">
        <v>97</v>
      </c>
      <c r="K1506" s="127" t="s">
        <v>1903</v>
      </c>
      <c r="L1506" s="179" t="s">
        <v>154</v>
      </c>
      <c r="M1506" s="76"/>
      <c r="N1506" s="76"/>
    </row>
    <row r="1507" spans="1:14" ht="15.6" hidden="1">
      <c r="A1507" s="375">
        <v>45884</v>
      </c>
      <c r="B1507" s="179" t="s">
        <v>2666</v>
      </c>
      <c r="C1507" s="396" t="s">
        <v>195</v>
      </c>
      <c r="D1507" s="396" t="s">
        <v>116</v>
      </c>
      <c r="E1507" s="369">
        <v>500</v>
      </c>
      <c r="F1507" s="317">
        <f t="shared" si="14"/>
        <v>0.89135775178182408</v>
      </c>
      <c r="G1507" s="318">
        <v>560.94200000000001</v>
      </c>
      <c r="H1507" s="256" t="s">
        <v>196</v>
      </c>
      <c r="I1507" s="179" t="s">
        <v>2707</v>
      </c>
      <c r="J1507" s="179" t="s">
        <v>97</v>
      </c>
      <c r="K1507" s="127" t="s">
        <v>1903</v>
      </c>
      <c r="L1507" s="179" t="s">
        <v>154</v>
      </c>
      <c r="M1507" s="76"/>
      <c r="N1507" s="76"/>
    </row>
    <row r="1508" spans="1:14" ht="15.6" hidden="1">
      <c r="A1508" s="375">
        <v>45884</v>
      </c>
      <c r="B1508" s="179" t="s">
        <v>2395</v>
      </c>
      <c r="C1508" s="396" t="s">
        <v>151</v>
      </c>
      <c r="D1508" s="396" t="s">
        <v>116</v>
      </c>
      <c r="E1508" s="369">
        <v>5000</v>
      </c>
      <c r="F1508" s="317">
        <f t="shared" si="14"/>
        <v>8.9135775178182417</v>
      </c>
      <c r="G1508" s="318">
        <v>560.94200000000001</v>
      </c>
      <c r="H1508" s="256" t="s">
        <v>196</v>
      </c>
      <c r="I1508" s="179" t="s">
        <v>2710</v>
      </c>
      <c r="J1508" s="179" t="s">
        <v>97</v>
      </c>
      <c r="K1508" s="127" t="s">
        <v>1903</v>
      </c>
      <c r="L1508" s="179" t="s">
        <v>154</v>
      </c>
      <c r="M1508" s="76"/>
      <c r="N1508" s="76"/>
    </row>
    <row r="1509" spans="1:14" ht="15.6" hidden="1">
      <c r="A1509" s="376">
        <v>45884</v>
      </c>
      <c r="B1509" s="179" t="s">
        <v>2761</v>
      </c>
      <c r="C1509" s="179" t="s">
        <v>176</v>
      </c>
      <c r="D1509" s="179" t="s">
        <v>119</v>
      </c>
      <c r="E1509" s="369">
        <v>15000</v>
      </c>
      <c r="F1509" s="317">
        <f t="shared" si="14"/>
        <v>26.740732553454723</v>
      </c>
      <c r="G1509" s="318">
        <v>560.94200000000001</v>
      </c>
      <c r="H1509" s="179" t="s">
        <v>212</v>
      </c>
      <c r="I1509" s="179" t="s">
        <v>2742</v>
      </c>
      <c r="J1509" s="179" t="s">
        <v>97</v>
      </c>
      <c r="K1509" s="127" t="s">
        <v>1903</v>
      </c>
      <c r="L1509" s="179" t="s">
        <v>154</v>
      </c>
      <c r="M1509" s="76"/>
      <c r="N1509" s="76"/>
    </row>
    <row r="1510" spans="1:14" ht="15.6" hidden="1">
      <c r="A1510" s="376">
        <v>45884</v>
      </c>
      <c r="B1510" s="179" t="s">
        <v>2724</v>
      </c>
      <c r="C1510" s="179" t="s">
        <v>173</v>
      </c>
      <c r="D1510" s="179" t="s">
        <v>119</v>
      </c>
      <c r="E1510" s="369">
        <v>500</v>
      </c>
      <c r="F1510" s="317">
        <f t="shared" si="14"/>
        <v>0.89135775178182408</v>
      </c>
      <c r="G1510" s="318">
        <v>560.94200000000001</v>
      </c>
      <c r="H1510" s="179" t="s">
        <v>212</v>
      </c>
      <c r="I1510" s="179" t="s">
        <v>2739</v>
      </c>
      <c r="J1510" s="179" t="s">
        <v>97</v>
      </c>
      <c r="K1510" s="127" t="s">
        <v>1903</v>
      </c>
      <c r="L1510" s="179" t="s">
        <v>154</v>
      </c>
      <c r="M1510" s="76"/>
      <c r="N1510" s="76"/>
    </row>
    <row r="1511" spans="1:14" ht="15.6" hidden="1">
      <c r="A1511" s="376">
        <v>45884</v>
      </c>
      <c r="B1511" s="179" t="s">
        <v>2395</v>
      </c>
      <c r="C1511" s="396" t="s">
        <v>151</v>
      </c>
      <c r="D1511" s="179" t="s">
        <v>119</v>
      </c>
      <c r="E1511" s="369">
        <v>5000</v>
      </c>
      <c r="F1511" s="317">
        <f t="shared" si="14"/>
        <v>8.9135775178182417</v>
      </c>
      <c r="G1511" s="318">
        <v>560.94200000000001</v>
      </c>
      <c r="H1511" s="179" t="s">
        <v>212</v>
      </c>
      <c r="I1511" s="179" t="s">
        <v>2743</v>
      </c>
      <c r="J1511" s="179" t="s">
        <v>97</v>
      </c>
      <c r="K1511" s="127" t="s">
        <v>1903</v>
      </c>
      <c r="L1511" s="179" t="s">
        <v>154</v>
      </c>
      <c r="M1511" s="76"/>
      <c r="N1511" s="76"/>
    </row>
    <row r="1512" spans="1:14" ht="15.6" hidden="1">
      <c r="A1512" s="241">
        <v>45885</v>
      </c>
      <c r="B1512" s="174" t="s">
        <v>2396</v>
      </c>
      <c r="C1512" s="174" t="s">
        <v>2391</v>
      </c>
      <c r="D1512" s="174" t="s">
        <v>116</v>
      </c>
      <c r="E1512" s="406">
        <v>15000</v>
      </c>
      <c r="F1512" s="317">
        <f t="shared" si="14"/>
        <v>26.740732553454723</v>
      </c>
      <c r="G1512" s="318">
        <v>560.94200000000001</v>
      </c>
      <c r="H1512" s="174" t="s">
        <v>199</v>
      </c>
      <c r="I1512" s="395" t="s">
        <v>2840</v>
      </c>
      <c r="J1512" s="179" t="s">
        <v>97</v>
      </c>
      <c r="K1512" s="127" t="s">
        <v>1903</v>
      </c>
      <c r="L1512" s="179" t="s">
        <v>154</v>
      </c>
      <c r="M1512" s="127"/>
      <c r="N1512" s="127"/>
    </row>
    <row r="1513" spans="1:14" ht="15.6" hidden="1">
      <c r="A1513" s="374">
        <v>45885</v>
      </c>
      <c r="B1513" s="395" t="s">
        <v>2397</v>
      </c>
      <c r="C1513" s="395" t="s">
        <v>173</v>
      </c>
      <c r="D1513" s="395" t="s">
        <v>116</v>
      </c>
      <c r="E1513" s="405">
        <v>500</v>
      </c>
      <c r="F1513" s="317">
        <f t="shared" si="14"/>
        <v>0.89135775178182408</v>
      </c>
      <c r="G1513" s="318">
        <v>560.94200000000001</v>
      </c>
      <c r="H1513" s="174" t="s">
        <v>199</v>
      </c>
      <c r="I1513" s="395" t="s">
        <v>2423</v>
      </c>
      <c r="J1513" s="179" t="s">
        <v>97</v>
      </c>
      <c r="K1513" s="127" t="s">
        <v>1903</v>
      </c>
      <c r="L1513" s="179" t="s">
        <v>154</v>
      </c>
      <c r="M1513" s="127"/>
      <c r="N1513" s="127"/>
    </row>
    <row r="1514" spans="1:14" ht="15.6" hidden="1">
      <c r="A1514" s="374">
        <v>45885</v>
      </c>
      <c r="B1514" s="395" t="s">
        <v>2398</v>
      </c>
      <c r="C1514" s="395" t="s">
        <v>173</v>
      </c>
      <c r="D1514" s="395" t="s">
        <v>116</v>
      </c>
      <c r="E1514" s="405">
        <v>500</v>
      </c>
      <c r="F1514" s="317">
        <f t="shared" si="14"/>
        <v>0.89135775178182408</v>
      </c>
      <c r="G1514" s="318">
        <v>560.94200000000001</v>
      </c>
      <c r="H1514" s="174" t="s">
        <v>199</v>
      </c>
      <c r="I1514" s="395" t="s">
        <v>2423</v>
      </c>
      <c r="J1514" s="179" t="s">
        <v>97</v>
      </c>
      <c r="K1514" s="127" t="s">
        <v>1903</v>
      </c>
      <c r="L1514" s="179" t="s">
        <v>154</v>
      </c>
      <c r="M1514" s="127"/>
      <c r="N1514" s="127"/>
    </row>
    <row r="1515" spans="1:14" ht="15.6" hidden="1">
      <c r="A1515" s="241">
        <v>45885</v>
      </c>
      <c r="B1515" s="174" t="s">
        <v>3786</v>
      </c>
      <c r="C1515" s="174" t="s">
        <v>173</v>
      </c>
      <c r="D1515" s="179" t="s">
        <v>442</v>
      </c>
      <c r="E1515" s="174">
        <v>1000</v>
      </c>
      <c r="F1515" s="317">
        <f t="shared" si="14"/>
        <v>1.7827155035636482</v>
      </c>
      <c r="G1515" s="318">
        <v>560.94200000000001</v>
      </c>
      <c r="H1515" s="174" t="s">
        <v>183</v>
      </c>
      <c r="I1515" s="174" t="s">
        <v>2473</v>
      </c>
      <c r="J1515" s="179" t="s">
        <v>97</v>
      </c>
      <c r="K1515" s="127" t="s">
        <v>1903</v>
      </c>
      <c r="L1515" s="179" t="s">
        <v>154</v>
      </c>
      <c r="M1515" s="127"/>
      <c r="N1515" s="127"/>
    </row>
    <row r="1516" spans="1:14" ht="15.6" hidden="1">
      <c r="A1516" s="241">
        <v>45885</v>
      </c>
      <c r="B1516" s="174" t="s">
        <v>3770</v>
      </c>
      <c r="C1516" s="174" t="s">
        <v>176</v>
      </c>
      <c r="D1516" s="179" t="s">
        <v>442</v>
      </c>
      <c r="E1516" s="174">
        <v>15000</v>
      </c>
      <c r="F1516" s="317">
        <f t="shared" si="14"/>
        <v>26.740732553454723</v>
      </c>
      <c r="G1516" s="318">
        <v>560.94200000000001</v>
      </c>
      <c r="H1516" s="174" t="s">
        <v>183</v>
      </c>
      <c r="I1516" s="174" t="s">
        <v>2479</v>
      </c>
      <c r="J1516" s="179" t="s">
        <v>97</v>
      </c>
      <c r="K1516" s="127" t="s">
        <v>1903</v>
      </c>
      <c r="L1516" s="179" t="s">
        <v>154</v>
      </c>
      <c r="M1516" s="127"/>
      <c r="N1516" s="127"/>
    </row>
    <row r="1517" spans="1:14" ht="15.6" hidden="1">
      <c r="A1517" s="241">
        <v>45885</v>
      </c>
      <c r="B1517" s="174" t="s">
        <v>3787</v>
      </c>
      <c r="C1517" s="174" t="s">
        <v>173</v>
      </c>
      <c r="D1517" s="179" t="s">
        <v>442</v>
      </c>
      <c r="E1517" s="174">
        <v>1000</v>
      </c>
      <c r="F1517" s="317">
        <f t="shared" si="14"/>
        <v>1.7827155035636482</v>
      </c>
      <c r="G1517" s="318">
        <v>560.94200000000001</v>
      </c>
      <c r="H1517" s="174" t="s">
        <v>183</v>
      </c>
      <c r="I1517" s="174" t="s">
        <v>2473</v>
      </c>
      <c r="J1517" s="179" t="s">
        <v>97</v>
      </c>
      <c r="K1517" s="127" t="s">
        <v>1903</v>
      </c>
      <c r="L1517" s="179" t="s">
        <v>154</v>
      </c>
      <c r="M1517" s="127"/>
      <c r="N1517" s="127"/>
    </row>
    <row r="1518" spans="1:14" ht="15.6" hidden="1">
      <c r="A1518" s="379">
        <v>45885</v>
      </c>
      <c r="B1518" s="179" t="s">
        <v>3867</v>
      </c>
      <c r="C1518" s="179" t="s">
        <v>2391</v>
      </c>
      <c r="D1518" s="179" t="s">
        <v>442</v>
      </c>
      <c r="E1518" s="179">
        <v>15000</v>
      </c>
      <c r="F1518" s="317">
        <f t="shared" si="14"/>
        <v>26.740732553454723</v>
      </c>
      <c r="G1518" s="318">
        <v>560.94200000000001</v>
      </c>
      <c r="H1518" s="179" t="s">
        <v>174</v>
      </c>
      <c r="I1518" s="179" t="s">
        <v>2500</v>
      </c>
      <c r="J1518" s="179" t="s">
        <v>97</v>
      </c>
      <c r="K1518" s="127" t="s">
        <v>1903</v>
      </c>
      <c r="L1518" s="179" t="s">
        <v>154</v>
      </c>
      <c r="M1518" s="76"/>
      <c r="N1518" s="76"/>
    </row>
    <row r="1519" spans="1:14" ht="15.6" hidden="1">
      <c r="A1519" s="379">
        <v>45885</v>
      </c>
      <c r="B1519" s="179" t="s">
        <v>3902</v>
      </c>
      <c r="C1519" s="179" t="s">
        <v>173</v>
      </c>
      <c r="D1519" s="179" t="s">
        <v>442</v>
      </c>
      <c r="E1519" s="179">
        <v>500</v>
      </c>
      <c r="F1519" s="317">
        <f t="shared" si="14"/>
        <v>0.89135775178182408</v>
      </c>
      <c r="G1519" s="318">
        <v>560.94200000000001</v>
      </c>
      <c r="H1519" s="179" t="s">
        <v>174</v>
      </c>
      <c r="I1519" s="179" t="s">
        <v>2494</v>
      </c>
      <c r="J1519" s="179" t="s">
        <v>97</v>
      </c>
      <c r="K1519" s="127" t="s">
        <v>1903</v>
      </c>
      <c r="L1519" s="179" t="s">
        <v>154</v>
      </c>
      <c r="M1519" s="76"/>
      <c r="N1519" s="76"/>
    </row>
    <row r="1520" spans="1:14" ht="15.6" hidden="1">
      <c r="A1520" s="379">
        <v>45885</v>
      </c>
      <c r="B1520" s="179" t="s">
        <v>3788</v>
      </c>
      <c r="C1520" s="179" t="s">
        <v>173</v>
      </c>
      <c r="D1520" s="179" t="s">
        <v>442</v>
      </c>
      <c r="E1520" s="179">
        <v>500</v>
      </c>
      <c r="F1520" s="317">
        <f t="shared" si="14"/>
        <v>0.89135775178182408</v>
      </c>
      <c r="G1520" s="318">
        <v>560.94200000000001</v>
      </c>
      <c r="H1520" s="179" t="s">
        <v>174</v>
      </c>
      <c r="I1520" s="179" t="s">
        <v>2494</v>
      </c>
      <c r="J1520" s="179" t="s">
        <v>97</v>
      </c>
      <c r="K1520" s="127" t="s">
        <v>1903</v>
      </c>
      <c r="L1520" s="179" t="s">
        <v>154</v>
      </c>
      <c r="M1520" s="76"/>
      <c r="N1520" s="76"/>
    </row>
    <row r="1521" spans="1:14" ht="15.6" hidden="1">
      <c r="A1521" s="375">
        <v>45885</v>
      </c>
      <c r="B1521" s="179" t="s">
        <v>2667</v>
      </c>
      <c r="C1521" s="179" t="s">
        <v>176</v>
      </c>
      <c r="D1521" s="179" t="s">
        <v>116</v>
      </c>
      <c r="E1521" s="369">
        <v>15000</v>
      </c>
      <c r="F1521" s="317">
        <f t="shared" si="14"/>
        <v>26.740732553454723</v>
      </c>
      <c r="G1521" s="318">
        <v>560.94200000000001</v>
      </c>
      <c r="H1521" s="256" t="s">
        <v>196</v>
      </c>
      <c r="I1521" s="179" t="s">
        <v>2711</v>
      </c>
      <c r="J1521" s="179" t="s">
        <v>97</v>
      </c>
      <c r="K1521" s="127" t="s">
        <v>1903</v>
      </c>
      <c r="L1521" s="179" t="s">
        <v>154</v>
      </c>
      <c r="M1521" s="76"/>
      <c r="N1521" s="76"/>
    </row>
    <row r="1522" spans="1:14" ht="15.6" hidden="1">
      <c r="A1522" s="375">
        <v>45885</v>
      </c>
      <c r="B1522" s="179" t="s">
        <v>2668</v>
      </c>
      <c r="C1522" s="396" t="s">
        <v>195</v>
      </c>
      <c r="D1522" s="396" t="s">
        <v>116</v>
      </c>
      <c r="E1522" s="369">
        <v>500</v>
      </c>
      <c r="F1522" s="317">
        <f t="shared" si="14"/>
        <v>0.89135775178182408</v>
      </c>
      <c r="G1522" s="318">
        <v>560.94200000000001</v>
      </c>
      <c r="H1522" s="256" t="s">
        <v>196</v>
      </c>
      <c r="I1522" s="179" t="s">
        <v>2707</v>
      </c>
      <c r="J1522" s="179" t="s">
        <v>97</v>
      </c>
      <c r="K1522" s="127" t="s">
        <v>1903</v>
      </c>
      <c r="L1522" s="179" t="s">
        <v>154</v>
      </c>
      <c r="M1522" s="76"/>
      <c r="N1522" s="76"/>
    </row>
    <row r="1523" spans="1:14" ht="15.6" hidden="1">
      <c r="A1523" s="375">
        <v>45885</v>
      </c>
      <c r="B1523" s="179" t="s">
        <v>2669</v>
      </c>
      <c r="C1523" s="396" t="s">
        <v>195</v>
      </c>
      <c r="D1523" s="396" t="s">
        <v>116</v>
      </c>
      <c r="E1523" s="369">
        <v>500</v>
      </c>
      <c r="F1523" s="317">
        <f t="shared" si="14"/>
        <v>0.89135775178182408</v>
      </c>
      <c r="G1523" s="318">
        <v>560.94200000000001</v>
      </c>
      <c r="H1523" s="256" t="s">
        <v>196</v>
      </c>
      <c r="I1523" s="179" t="s">
        <v>2707</v>
      </c>
      <c r="J1523" s="179" t="s">
        <v>97</v>
      </c>
      <c r="K1523" s="127" t="s">
        <v>1903</v>
      </c>
      <c r="L1523" s="179" t="s">
        <v>154</v>
      </c>
      <c r="M1523" s="76"/>
      <c r="N1523" s="76"/>
    </row>
    <row r="1524" spans="1:14" ht="15.6" hidden="1">
      <c r="A1524" s="376">
        <v>45885</v>
      </c>
      <c r="B1524" s="179" t="s">
        <v>2725</v>
      </c>
      <c r="C1524" s="179" t="s">
        <v>176</v>
      </c>
      <c r="D1524" s="179" t="s">
        <v>119</v>
      </c>
      <c r="E1524" s="369">
        <v>15000</v>
      </c>
      <c r="F1524" s="317">
        <f t="shared" si="14"/>
        <v>26.740732553454723</v>
      </c>
      <c r="G1524" s="318">
        <v>560.94200000000001</v>
      </c>
      <c r="H1524" s="179" t="s">
        <v>212</v>
      </c>
      <c r="I1524" s="179" t="s">
        <v>2744</v>
      </c>
      <c r="J1524" s="179" t="s">
        <v>97</v>
      </c>
      <c r="K1524" s="127" t="s">
        <v>1903</v>
      </c>
      <c r="L1524" s="179" t="s">
        <v>154</v>
      </c>
      <c r="M1524" s="76"/>
      <c r="N1524" s="76"/>
    </row>
    <row r="1525" spans="1:14" ht="15.6" hidden="1">
      <c r="A1525" s="376">
        <v>45885</v>
      </c>
      <c r="B1525" s="179" t="s">
        <v>2726</v>
      </c>
      <c r="C1525" s="179" t="s">
        <v>173</v>
      </c>
      <c r="D1525" s="179" t="s">
        <v>119</v>
      </c>
      <c r="E1525" s="369">
        <v>500</v>
      </c>
      <c r="F1525" s="317">
        <f t="shared" si="14"/>
        <v>0.89135775178182408</v>
      </c>
      <c r="G1525" s="318">
        <v>560.94200000000001</v>
      </c>
      <c r="H1525" s="179" t="s">
        <v>212</v>
      </c>
      <c r="I1525" s="179" t="s">
        <v>2739</v>
      </c>
      <c r="J1525" s="179" t="s">
        <v>97</v>
      </c>
      <c r="K1525" s="127" t="s">
        <v>1903</v>
      </c>
      <c r="L1525" s="179" t="s">
        <v>154</v>
      </c>
      <c r="M1525" s="76"/>
      <c r="N1525" s="76"/>
    </row>
    <row r="1526" spans="1:14" ht="15.6" hidden="1">
      <c r="A1526" s="372">
        <v>45887</v>
      </c>
      <c r="B1526" s="396" t="s">
        <v>2100</v>
      </c>
      <c r="C1526" s="303" t="s">
        <v>173</v>
      </c>
      <c r="D1526" s="303" t="s">
        <v>118</v>
      </c>
      <c r="E1526" s="396">
        <v>1000</v>
      </c>
      <c r="F1526" s="317">
        <f t="shared" si="14"/>
        <v>1.7827155035636482</v>
      </c>
      <c r="G1526" s="318">
        <v>560.94200000000001</v>
      </c>
      <c r="H1526" s="403" t="s">
        <v>152</v>
      </c>
      <c r="I1526" s="404" t="s">
        <v>2425</v>
      </c>
      <c r="J1526" s="179" t="s">
        <v>97</v>
      </c>
      <c r="K1526" s="127" t="s">
        <v>1903</v>
      </c>
      <c r="L1526" s="179" t="s">
        <v>154</v>
      </c>
      <c r="M1526" s="127"/>
      <c r="N1526" s="127"/>
    </row>
    <row r="1527" spans="1:14" ht="15.6" hidden="1">
      <c r="A1527" s="372">
        <v>45887</v>
      </c>
      <c r="B1527" s="396" t="s">
        <v>2109</v>
      </c>
      <c r="C1527" s="303" t="s">
        <v>173</v>
      </c>
      <c r="D1527" s="303" t="s">
        <v>118</v>
      </c>
      <c r="E1527" s="396">
        <v>1000</v>
      </c>
      <c r="F1527" s="317">
        <f t="shared" si="14"/>
        <v>1.7827155035636482</v>
      </c>
      <c r="G1527" s="318">
        <v>560.94200000000001</v>
      </c>
      <c r="H1527" s="403" t="s">
        <v>152</v>
      </c>
      <c r="I1527" s="404" t="s">
        <v>2425</v>
      </c>
      <c r="J1527" s="179" t="s">
        <v>97</v>
      </c>
      <c r="K1527" s="127" t="s">
        <v>1903</v>
      </c>
      <c r="L1527" s="179" t="s">
        <v>154</v>
      </c>
      <c r="M1527" s="127"/>
      <c r="N1527" s="127"/>
    </row>
    <row r="1528" spans="1:14" ht="15.6" hidden="1">
      <c r="A1528" s="372">
        <v>45887</v>
      </c>
      <c r="B1528" s="396" t="s">
        <v>2110</v>
      </c>
      <c r="C1528" s="303" t="s">
        <v>173</v>
      </c>
      <c r="D1528" s="303" t="s">
        <v>118</v>
      </c>
      <c r="E1528" s="396">
        <v>1000</v>
      </c>
      <c r="F1528" s="317">
        <f t="shared" si="14"/>
        <v>1.7827155035636482</v>
      </c>
      <c r="G1528" s="318">
        <v>560.94200000000001</v>
      </c>
      <c r="H1528" s="403" t="s">
        <v>152</v>
      </c>
      <c r="I1528" s="404" t="s">
        <v>2425</v>
      </c>
      <c r="J1528" s="179" t="s">
        <v>97</v>
      </c>
      <c r="K1528" s="127" t="s">
        <v>1903</v>
      </c>
      <c r="L1528" s="179" t="s">
        <v>154</v>
      </c>
      <c r="M1528" s="127"/>
      <c r="N1528" s="127"/>
    </row>
    <row r="1529" spans="1:14" ht="15.6" hidden="1">
      <c r="A1529" s="372">
        <v>45887</v>
      </c>
      <c r="B1529" s="396" t="s">
        <v>2101</v>
      </c>
      <c r="C1529" s="303" t="s">
        <v>173</v>
      </c>
      <c r="D1529" s="303" t="s">
        <v>118</v>
      </c>
      <c r="E1529" s="396">
        <v>1000</v>
      </c>
      <c r="F1529" s="317">
        <f t="shared" si="14"/>
        <v>1.7827155035636482</v>
      </c>
      <c r="G1529" s="318">
        <v>560.94200000000001</v>
      </c>
      <c r="H1529" s="403" t="s">
        <v>152</v>
      </c>
      <c r="I1529" s="404" t="s">
        <v>2425</v>
      </c>
      <c r="J1529" s="179" t="s">
        <v>97</v>
      </c>
      <c r="K1529" s="127" t="s">
        <v>1903</v>
      </c>
      <c r="L1529" s="179" t="s">
        <v>154</v>
      </c>
      <c r="M1529" s="127"/>
      <c r="N1529" s="127"/>
    </row>
    <row r="1530" spans="1:14" ht="15.6" hidden="1">
      <c r="A1530" s="372">
        <v>45887</v>
      </c>
      <c r="B1530" s="396" t="s">
        <v>2386</v>
      </c>
      <c r="C1530" s="303" t="s">
        <v>151</v>
      </c>
      <c r="D1530" s="303" t="s">
        <v>118</v>
      </c>
      <c r="E1530" s="396">
        <v>15000</v>
      </c>
      <c r="F1530" s="317">
        <f t="shared" si="14"/>
        <v>26.740732553454723</v>
      </c>
      <c r="G1530" s="318">
        <v>560.94200000000001</v>
      </c>
      <c r="H1530" s="403" t="s">
        <v>152</v>
      </c>
      <c r="I1530" s="404" t="s">
        <v>2427</v>
      </c>
      <c r="J1530" s="179" t="s">
        <v>97</v>
      </c>
      <c r="K1530" s="127" t="s">
        <v>1903</v>
      </c>
      <c r="L1530" s="179" t="s">
        <v>154</v>
      </c>
      <c r="M1530" s="127"/>
      <c r="N1530" s="127"/>
    </row>
    <row r="1531" spans="1:14" ht="15.6" hidden="1">
      <c r="A1531" s="372">
        <v>45887</v>
      </c>
      <c r="B1531" s="179" t="s">
        <v>2343</v>
      </c>
      <c r="C1531" s="303" t="s">
        <v>126</v>
      </c>
      <c r="D1531" s="303" t="s">
        <v>118</v>
      </c>
      <c r="E1531" s="396">
        <v>300000</v>
      </c>
      <c r="F1531" s="317">
        <f t="shared" si="14"/>
        <v>534.81465106909445</v>
      </c>
      <c r="G1531" s="318">
        <v>560.94200000000001</v>
      </c>
      <c r="H1531" s="179" t="s">
        <v>152</v>
      </c>
      <c r="I1531" s="179" t="s">
        <v>2344</v>
      </c>
      <c r="J1531" s="179" t="s">
        <v>97</v>
      </c>
      <c r="K1531" s="127" t="s">
        <v>1903</v>
      </c>
      <c r="L1531" s="179" t="s">
        <v>154</v>
      </c>
      <c r="M1531" s="127"/>
      <c r="N1531" s="127"/>
    </row>
    <row r="1532" spans="1:14" ht="15.6" hidden="1">
      <c r="A1532" s="376">
        <v>45887</v>
      </c>
      <c r="B1532" s="179" t="s">
        <v>2399</v>
      </c>
      <c r="C1532" s="179" t="s">
        <v>151</v>
      </c>
      <c r="D1532" s="179" t="s">
        <v>116</v>
      </c>
      <c r="E1532" s="405">
        <v>5000</v>
      </c>
      <c r="F1532" s="317">
        <f t="shared" si="14"/>
        <v>8.9135775178182417</v>
      </c>
      <c r="G1532" s="318">
        <v>560.94200000000001</v>
      </c>
      <c r="H1532" s="174" t="s">
        <v>199</v>
      </c>
      <c r="I1532" s="395" t="s">
        <v>2841</v>
      </c>
      <c r="J1532" s="179" t="s">
        <v>97</v>
      </c>
      <c r="K1532" s="127" t="s">
        <v>1903</v>
      </c>
      <c r="L1532" s="179" t="s">
        <v>154</v>
      </c>
      <c r="M1532" s="127"/>
      <c r="N1532" s="127"/>
    </row>
    <row r="1533" spans="1:14" ht="15.6" hidden="1">
      <c r="A1533" s="376">
        <v>45887</v>
      </c>
      <c r="B1533" s="179" t="s">
        <v>2400</v>
      </c>
      <c r="C1533" s="179" t="s">
        <v>151</v>
      </c>
      <c r="D1533" s="179" t="s">
        <v>116</v>
      </c>
      <c r="E1533" s="405">
        <v>5000</v>
      </c>
      <c r="F1533" s="317">
        <f t="shared" si="14"/>
        <v>8.9135775178182417</v>
      </c>
      <c r="G1533" s="318">
        <v>560.94200000000001</v>
      </c>
      <c r="H1533" s="174" t="s">
        <v>199</v>
      </c>
      <c r="I1533" s="395" t="s">
        <v>2842</v>
      </c>
      <c r="J1533" s="179" t="s">
        <v>97</v>
      </c>
      <c r="K1533" s="127" t="s">
        <v>1903</v>
      </c>
      <c r="L1533" s="179" t="s">
        <v>154</v>
      </c>
      <c r="M1533" s="127"/>
      <c r="N1533" s="127"/>
    </row>
    <row r="1534" spans="1:14" ht="15.6" hidden="1">
      <c r="A1534" s="378">
        <v>45887</v>
      </c>
      <c r="B1534" s="179" t="s">
        <v>2442</v>
      </c>
      <c r="C1534" s="179" t="s">
        <v>173</v>
      </c>
      <c r="D1534" s="179" t="s">
        <v>117</v>
      </c>
      <c r="E1534" s="332">
        <v>1000</v>
      </c>
      <c r="F1534" s="317">
        <f t="shared" si="14"/>
        <v>1.7827155035636482</v>
      </c>
      <c r="G1534" s="318">
        <v>560.94200000000001</v>
      </c>
      <c r="H1534" s="179" t="s">
        <v>583</v>
      </c>
      <c r="I1534" s="179" t="s">
        <v>2464</v>
      </c>
      <c r="J1534" s="179" t="s">
        <v>97</v>
      </c>
      <c r="K1534" s="127" t="s">
        <v>1903</v>
      </c>
      <c r="L1534" s="179" t="s">
        <v>154</v>
      </c>
      <c r="M1534" s="127"/>
      <c r="N1534" s="127"/>
    </row>
    <row r="1535" spans="1:14" ht="15.6" hidden="1">
      <c r="A1535" s="378">
        <v>45887</v>
      </c>
      <c r="B1535" s="179" t="s">
        <v>2443</v>
      </c>
      <c r="C1535" s="179" t="s">
        <v>173</v>
      </c>
      <c r="D1535" s="179" t="s">
        <v>117</v>
      </c>
      <c r="E1535" s="332">
        <v>1000</v>
      </c>
      <c r="F1535" s="317">
        <f t="shared" si="14"/>
        <v>1.7827155035636482</v>
      </c>
      <c r="G1535" s="318">
        <v>560.94200000000001</v>
      </c>
      <c r="H1535" s="179" t="s">
        <v>583</v>
      </c>
      <c r="I1535" s="179" t="s">
        <v>2464</v>
      </c>
      <c r="J1535" s="179" t="s">
        <v>97</v>
      </c>
      <c r="K1535" s="127" t="s">
        <v>1903</v>
      </c>
      <c r="L1535" s="179" t="s">
        <v>154</v>
      </c>
      <c r="M1535" s="145"/>
      <c r="N1535" s="127"/>
    </row>
    <row r="1536" spans="1:14" ht="15.6" hidden="1">
      <c r="A1536" s="378">
        <v>45887</v>
      </c>
      <c r="B1536" s="179" t="s">
        <v>2444</v>
      </c>
      <c r="C1536" s="179" t="s">
        <v>173</v>
      </c>
      <c r="D1536" s="179" t="s">
        <v>117</v>
      </c>
      <c r="E1536" s="332">
        <v>1000</v>
      </c>
      <c r="F1536" s="317">
        <f t="shared" si="14"/>
        <v>1.7827155035636482</v>
      </c>
      <c r="G1536" s="318">
        <v>560.94200000000001</v>
      </c>
      <c r="H1536" s="179" t="s">
        <v>583</v>
      </c>
      <c r="I1536" s="179" t="s">
        <v>2464</v>
      </c>
      <c r="J1536" s="179" t="s">
        <v>97</v>
      </c>
      <c r="K1536" s="127" t="s">
        <v>1903</v>
      </c>
      <c r="L1536" s="179" t="s">
        <v>154</v>
      </c>
      <c r="M1536" s="127"/>
      <c r="N1536" s="127"/>
    </row>
    <row r="1537" spans="1:14" ht="15.6" hidden="1">
      <c r="A1537" s="378">
        <v>45887</v>
      </c>
      <c r="B1537" s="179" t="s">
        <v>2445</v>
      </c>
      <c r="C1537" s="369" t="s">
        <v>151</v>
      </c>
      <c r="D1537" s="179" t="s">
        <v>118</v>
      </c>
      <c r="E1537" s="332">
        <v>10000</v>
      </c>
      <c r="F1537" s="317">
        <f t="shared" si="14"/>
        <v>17.827155035636483</v>
      </c>
      <c r="G1537" s="318">
        <v>560.94200000000001</v>
      </c>
      <c r="H1537" s="179" t="s">
        <v>583</v>
      </c>
      <c r="I1537" s="179" t="s">
        <v>2465</v>
      </c>
      <c r="J1537" s="179" t="s">
        <v>97</v>
      </c>
      <c r="K1537" s="127" t="s">
        <v>1903</v>
      </c>
      <c r="L1537" s="179" t="s">
        <v>154</v>
      </c>
      <c r="M1537" s="127"/>
      <c r="N1537" s="127"/>
    </row>
    <row r="1538" spans="1:14" ht="15.6" hidden="1">
      <c r="A1538" s="241">
        <v>45887</v>
      </c>
      <c r="B1538" s="174" t="s">
        <v>3788</v>
      </c>
      <c r="C1538" s="174" t="s">
        <v>173</v>
      </c>
      <c r="D1538" s="179" t="s">
        <v>442</v>
      </c>
      <c r="E1538" s="174">
        <v>500</v>
      </c>
      <c r="F1538" s="317">
        <f t="shared" si="14"/>
        <v>0.89135775178182408</v>
      </c>
      <c r="G1538" s="318">
        <v>560.94200000000001</v>
      </c>
      <c r="H1538" s="174" t="s">
        <v>183</v>
      </c>
      <c r="I1538" s="174" t="s">
        <v>2473</v>
      </c>
      <c r="J1538" s="179" t="s">
        <v>97</v>
      </c>
      <c r="K1538" s="127" t="s">
        <v>1903</v>
      </c>
      <c r="L1538" s="179" t="s">
        <v>154</v>
      </c>
      <c r="M1538" s="186"/>
      <c r="N1538" s="186"/>
    </row>
    <row r="1539" spans="1:14" ht="15.6" hidden="1">
      <c r="A1539" s="241">
        <v>45887</v>
      </c>
      <c r="B1539" s="174" t="s">
        <v>3789</v>
      </c>
      <c r="C1539" s="174" t="s">
        <v>173</v>
      </c>
      <c r="D1539" s="179" t="s">
        <v>442</v>
      </c>
      <c r="E1539" s="174">
        <v>500</v>
      </c>
      <c r="F1539" s="317">
        <f t="shared" si="14"/>
        <v>0.89135775178182408</v>
      </c>
      <c r="G1539" s="318">
        <v>560.94200000000001</v>
      </c>
      <c r="H1539" s="174" t="s">
        <v>183</v>
      </c>
      <c r="I1539" s="174" t="s">
        <v>2473</v>
      </c>
      <c r="J1539" s="179" t="s">
        <v>97</v>
      </c>
      <c r="K1539" s="127" t="s">
        <v>1903</v>
      </c>
      <c r="L1539" s="179" t="s">
        <v>154</v>
      </c>
      <c r="M1539" s="127"/>
      <c r="N1539" s="127"/>
    </row>
    <row r="1540" spans="1:14" ht="15.6" hidden="1">
      <c r="A1540" s="241">
        <v>45887</v>
      </c>
      <c r="B1540" s="174" t="s">
        <v>3790</v>
      </c>
      <c r="C1540" s="174" t="s">
        <v>173</v>
      </c>
      <c r="D1540" s="179" t="s">
        <v>442</v>
      </c>
      <c r="E1540" s="174">
        <v>1000</v>
      </c>
      <c r="F1540" s="317">
        <f t="shared" si="14"/>
        <v>1.7827155035636482</v>
      </c>
      <c r="G1540" s="318">
        <v>560.94200000000001</v>
      </c>
      <c r="H1540" s="174" t="s">
        <v>183</v>
      </c>
      <c r="I1540" s="174" t="s">
        <v>2473</v>
      </c>
      <c r="J1540" s="179" t="s">
        <v>97</v>
      </c>
      <c r="K1540" s="127" t="s">
        <v>1903</v>
      </c>
      <c r="L1540" s="179" t="s">
        <v>154</v>
      </c>
      <c r="M1540" s="127"/>
      <c r="N1540" s="127"/>
    </row>
    <row r="1541" spans="1:14" ht="15.6" hidden="1">
      <c r="A1541" s="241">
        <v>45887</v>
      </c>
      <c r="B1541" s="174" t="s">
        <v>3791</v>
      </c>
      <c r="C1541" s="174" t="s">
        <v>173</v>
      </c>
      <c r="D1541" s="179" t="s">
        <v>442</v>
      </c>
      <c r="E1541" s="174">
        <v>1000</v>
      </c>
      <c r="F1541" s="317">
        <f t="shared" si="14"/>
        <v>1.7827155035636482</v>
      </c>
      <c r="G1541" s="318">
        <v>560.94200000000001</v>
      </c>
      <c r="H1541" s="174" t="s">
        <v>183</v>
      </c>
      <c r="I1541" s="174" t="s">
        <v>2473</v>
      </c>
      <c r="J1541" s="179" t="s">
        <v>97</v>
      </c>
      <c r="K1541" s="127" t="s">
        <v>1903</v>
      </c>
      <c r="L1541" s="179" t="s">
        <v>154</v>
      </c>
      <c r="M1541" s="127"/>
      <c r="N1541" s="127"/>
    </row>
    <row r="1542" spans="1:14" ht="15.6" hidden="1">
      <c r="A1542" s="241">
        <v>45887</v>
      </c>
      <c r="B1542" s="174" t="s">
        <v>3792</v>
      </c>
      <c r="C1542" s="174" t="s">
        <v>173</v>
      </c>
      <c r="D1542" s="179" t="s">
        <v>442</v>
      </c>
      <c r="E1542" s="174">
        <v>1000</v>
      </c>
      <c r="F1542" s="317">
        <f t="shared" si="14"/>
        <v>1.7827155035636482</v>
      </c>
      <c r="G1542" s="318">
        <v>560.94200000000001</v>
      </c>
      <c r="H1542" s="174" t="s">
        <v>183</v>
      </c>
      <c r="I1542" s="174" t="s">
        <v>2473</v>
      </c>
      <c r="J1542" s="179" t="s">
        <v>97</v>
      </c>
      <c r="K1542" s="127" t="s">
        <v>1903</v>
      </c>
      <c r="L1542" s="179" t="s">
        <v>154</v>
      </c>
      <c r="M1542" s="127"/>
      <c r="N1542" s="127"/>
    </row>
    <row r="1543" spans="1:14" ht="15.6" hidden="1">
      <c r="A1543" s="241">
        <v>45887</v>
      </c>
      <c r="B1543" s="174" t="s">
        <v>3793</v>
      </c>
      <c r="C1543" s="174" t="s">
        <v>173</v>
      </c>
      <c r="D1543" s="179" t="s">
        <v>442</v>
      </c>
      <c r="E1543" s="174">
        <v>500</v>
      </c>
      <c r="F1543" s="317">
        <f t="shared" si="14"/>
        <v>0.89135775178182408</v>
      </c>
      <c r="G1543" s="318">
        <v>560.94200000000001</v>
      </c>
      <c r="H1543" s="174" t="s">
        <v>183</v>
      </c>
      <c r="I1543" s="174" t="s">
        <v>2473</v>
      </c>
      <c r="J1543" s="179" t="s">
        <v>97</v>
      </c>
      <c r="K1543" s="127" t="s">
        <v>1903</v>
      </c>
      <c r="L1543" s="179" t="s">
        <v>154</v>
      </c>
      <c r="M1543" s="127"/>
      <c r="N1543" s="127"/>
    </row>
    <row r="1544" spans="1:14" ht="15.6" hidden="1">
      <c r="A1544" s="241">
        <v>45887</v>
      </c>
      <c r="B1544" s="174" t="s">
        <v>3786</v>
      </c>
      <c r="C1544" s="174" t="s">
        <v>173</v>
      </c>
      <c r="D1544" s="179" t="s">
        <v>442</v>
      </c>
      <c r="E1544" s="174">
        <v>1000</v>
      </c>
      <c r="F1544" s="317">
        <f t="shared" si="14"/>
        <v>1.7827155035636482</v>
      </c>
      <c r="G1544" s="318">
        <v>560.94200000000001</v>
      </c>
      <c r="H1544" s="174" t="s">
        <v>183</v>
      </c>
      <c r="I1544" s="174" t="s">
        <v>2473</v>
      </c>
      <c r="J1544" s="179" t="s">
        <v>97</v>
      </c>
      <c r="K1544" s="127" t="s">
        <v>1903</v>
      </c>
      <c r="L1544" s="179" t="s">
        <v>154</v>
      </c>
      <c r="M1544" s="127"/>
      <c r="N1544" s="127"/>
    </row>
    <row r="1545" spans="1:14" ht="15.6" hidden="1">
      <c r="A1545" s="241">
        <v>45887</v>
      </c>
      <c r="B1545" s="174" t="s">
        <v>2470</v>
      </c>
      <c r="C1545" s="174" t="s">
        <v>151</v>
      </c>
      <c r="D1545" s="179" t="s">
        <v>442</v>
      </c>
      <c r="E1545" s="174">
        <v>10000</v>
      </c>
      <c r="F1545" s="317">
        <f t="shared" si="14"/>
        <v>17.827155035636483</v>
      </c>
      <c r="G1545" s="318">
        <v>560.94200000000001</v>
      </c>
      <c r="H1545" s="174" t="s">
        <v>183</v>
      </c>
      <c r="I1545" s="174" t="s">
        <v>2480</v>
      </c>
      <c r="J1545" s="179" t="s">
        <v>97</v>
      </c>
      <c r="K1545" s="127" t="s">
        <v>1903</v>
      </c>
      <c r="L1545" s="179" t="s">
        <v>154</v>
      </c>
      <c r="M1545" s="76"/>
      <c r="N1545" s="76"/>
    </row>
    <row r="1546" spans="1:14" ht="15.6" hidden="1">
      <c r="A1546" s="241">
        <v>45887</v>
      </c>
      <c r="B1546" s="174" t="s">
        <v>2471</v>
      </c>
      <c r="C1546" s="174" t="s">
        <v>151</v>
      </c>
      <c r="D1546" s="179" t="s">
        <v>442</v>
      </c>
      <c r="E1546" s="174">
        <v>5000</v>
      </c>
      <c r="F1546" s="317">
        <f t="shared" si="14"/>
        <v>8.9135775178182417</v>
      </c>
      <c r="G1546" s="318">
        <v>560.94200000000001</v>
      </c>
      <c r="H1546" s="174" t="s">
        <v>183</v>
      </c>
      <c r="I1546" s="174" t="s">
        <v>2481</v>
      </c>
      <c r="J1546" s="179" t="s">
        <v>97</v>
      </c>
      <c r="K1546" s="127" t="s">
        <v>1903</v>
      </c>
      <c r="L1546" s="179" t="s">
        <v>154</v>
      </c>
      <c r="M1546" s="76"/>
      <c r="N1546" s="76"/>
    </row>
    <row r="1547" spans="1:14" ht="15.6" hidden="1">
      <c r="A1547" s="379">
        <v>45887</v>
      </c>
      <c r="B1547" s="179" t="s">
        <v>3726</v>
      </c>
      <c r="C1547" s="179" t="s">
        <v>173</v>
      </c>
      <c r="D1547" s="179" t="s">
        <v>442</v>
      </c>
      <c r="E1547" s="179">
        <v>500</v>
      </c>
      <c r="F1547" s="317">
        <f t="shared" si="14"/>
        <v>0.89135775178182408</v>
      </c>
      <c r="G1547" s="318">
        <v>560.94200000000001</v>
      </c>
      <c r="H1547" s="179" t="s">
        <v>174</v>
      </c>
      <c r="I1547" s="179" t="s">
        <v>2494</v>
      </c>
      <c r="J1547" s="179" t="s">
        <v>97</v>
      </c>
      <c r="K1547" s="127" t="s">
        <v>1903</v>
      </c>
      <c r="L1547" s="179" t="s">
        <v>154</v>
      </c>
      <c r="M1547" s="76"/>
      <c r="N1547" s="76"/>
    </row>
    <row r="1548" spans="1:14" ht="15.6" hidden="1">
      <c r="A1548" s="379">
        <v>45887</v>
      </c>
      <c r="B1548" s="179" t="s">
        <v>3902</v>
      </c>
      <c r="C1548" s="179" t="s">
        <v>173</v>
      </c>
      <c r="D1548" s="179" t="s">
        <v>442</v>
      </c>
      <c r="E1548" s="179">
        <v>500</v>
      </c>
      <c r="F1548" s="317">
        <f t="shared" si="14"/>
        <v>0.89135775178182408</v>
      </c>
      <c r="G1548" s="318">
        <v>560.94200000000001</v>
      </c>
      <c r="H1548" s="179" t="s">
        <v>174</v>
      </c>
      <c r="I1548" s="179" t="s">
        <v>2494</v>
      </c>
      <c r="J1548" s="179" t="s">
        <v>97</v>
      </c>
      <c r="K1548" s="127" t="s">
        <v>1903</v>
      </c>
      <c r="L1548" s="179" t="s">
        <v>154</v>
      </c>
      <c r="M1548" s="76"/>
      <c r="N1548" s="76"/>
    </row>
    <row r="1549" spans="1:14" ht="15.6" hidden="1">
      <c r="A1549" s="379">
        <v>45887</v>
      </c>
      <c r="B1549" s="179" t="s">
        <v>3902</v>
      </c>
      <c r="C1549" s="179" t="s">
        <v>173</v>
      </c>
      <c r="D1549" s="179" t="s">
        <v>442</v>
      </c>
      <c r="E1549" s="179">
        <v>500</v>
      </c>
      <c r="F1549" s="317">
        <f t="shared" si="14"/>
        <v>0.89135775178182408</v>
      </c>
      <c r="G1549" s="318">
        <v>560.94200000000001</v>
      </c>
      <c r="H1549" s="179" t="s">
        <v>174</v>
      </c>
      <c r="I1549" s="179" t="s">
        <v>2494</v>
      </c>
      <c r="J1549" s="179" t="s">
        <v>97</v>
      </c>
      <c r="K1549" s="127" t="s">
        <v>1903</v>
      </c>
      <c r="L1549" s="179" t="s">
        <v>154</v>
      </c>
      <c r="M1549" s="76"/>
      <c r="N1549" s="76"/>
    </row>
    <row r="1550" spans="1:14" ht="15.6" hidden="1">
      <c r="A1550" s="379">
        <v>45887</v>
      </c>
      <c r="B1550" s="179" t="s">
        <v>3902</v>
      </c>
      <c r="C1550" s="179" t="s">
        <v>173</v>
      </c>
      <c r="D1550" s="179" t="s">
        <v>442</v>
      </c>
      <c r="E1550" s="179">
        <v>500</v>
      </c>
      <c r="F1550" s="317">
        <f t="shared" si="14"/>
        <v>0.89135775178182408</v>
      </c>
      <c r="G1550" s="318">
        <v>560.94200000000001</v>
      </c>
      <c r="H1550" s="179" t="s">
        <v>174</v>
      </c>
      <c r="I1550" s="179" t="s">
        <v>2494</v>
      </c>
      <c r="J1550" s="179" t="s">
        <v>97</v>
      </c>
      <c r="K1550" s="127" t="s">
        <v>1903</v>
      </c>
      <c r="L1550" s="179" t="s">
        <v>154</v>
      </c>
      <c r="M1550" s="76"/>
      <c r="N1550" s="76"/>
    </row>
    <row r="1551" spans="1:14" ht="15.6" hidden="1">
      <c r="A1551" s="379">
        <v>45887</v>
      </c>
      <c r="B1551" s="174" t="s">
        <v>2491</v>
      </c>
      <c r="C1551" s="174" t="s">
        <v>151</v>
      </c>
      <c r="D1551" s="179" t="s">
        <v>442</v>
      </c>
      <c r="E1551" s="179">
        <v>15000</v>
      </c>
      <c r="F1551" s="317">
        <f t="shared" si="14"/>
        <v>26.740732553454723</v>
      </c>
      <c r="G1551" s="318">
        <v>560.94200000000001</v>
      </c>
      <c r="H1551" s="179" t="s">
        <v>174</v>
      </c>
      <c r="I1551" s="179" t="s">
        <v>2501</v>
      </c>
      <c r="J1551" s="179" t="s">
        <v>97</v>
      </c>
      <c r="K1551" s="127" t="s">
        <v>1903</v>
      </c>
      <c r="L1551" s="179" t="s">
        <v>154</v>
      </c>
      <c r="M1551"/>
      <c r="N1551"/>
    </row>
    <row r="1552" spans="1:14" ht="15.6" hidden="1">
      <c r="A1552" s="376">
        <v>45887</v>
      </c>
      <c r="B1552" s="179" t="s">
        <v>3708</v>
      </c>
      <c r="C1552" s="179" t="s">
        <v>173</v>
      </c>
      <c r="D1552" s="179" t="s">
        <v>442</v>
      </c>
      <c r="E1552" s="179">
        <v>1000</v>
      </c>
      <c r="F1552" s="317">
        <f t="shared" si="14"/>
        <v>1.7827155035636482</v>
      </c>
      <c r="G1552" s="318">
        <v>560.94200000000001</v>
      </c>
      <c r="H1552" s="179" t="s">
        <v>316</v>
      </c>
      <c r="I1552" s="179" t="s">
        <v>2523</v>
      </c>
      <c r="J1552" s="179" t="s">
        <v>97</v>
      </c>
      <c r="K1552" s="127" t="s">
        <v>1903</v>
      </c>
      <c r="L1552" s="179" t="s">
        <v>154</v>
      </c>
      <c r="M1552"/>
      <c r="N1552"/>
    </row>
    <row r="1553" spans="1:14" ht="15.6" hidden="1">
      <c r="A1553" s="376">
        <v>45887</v>
      </c>
      <c r="B1553" s="179" t="s">
        <v>3709</v>
      </c>
      <c r="C1553" s="179" t="s">
        <v>173</v>
      </c>
      <c r="D1553" s="179" t="s">
        <v>442</v>
      </c>
      <c r="E1553" s="179">
        <v>1000</v>
      </c>
      <c r="F1553" s="317">
        <f t="shared" si="14"/>
        <v>1.7827155035636482</v>
      </c>
      <c r="G1553" s="318">
        <v>560.94200000000001</v>
      </c>
      <c r="H1553" s="179" t="s">
        <v>316</v>
      </c>
      <c r="I1553" s="179" t="s">
        <v>2523</v>
      </c>
      <c r="J1553" s="179" t="s">
        <v>97</v>
      </c>
      <c r="K1553" s="127" t="s">
        <v>1903</v>
      </c>
      <c r="L1553" s="179" t="s">
        <v>154</v>
      </c>
      <c r="M1553"/>
      <c r="N1553"/>
    </row>
    <row r="1554" spans="1:14" ht="15.6" hidden="1">
      <c r="A1554" s="376">
        <v>45887</v>
      </c>
      <c r="B1554" s="179" t="s">
        <v>3689</v>
      </c>
      <c r="C1554" s="179" t="s">
        <v>173</v>
      </c>
      <c r="D1554" s="179" t="s">
        <v>442</v>
      </c>
      <c r="E1554" s="179">
        <v>5000</v>
      </c>
      <c r="F1554" s="317">
        <f t="shared" si="14"/>
        <v>8.9135775178182417</v>
      </c>
      <c r="G1554" s="318">
        <v>560.94200000000001</v>
      </c>
      <c r="H1554" s="179" t="s">
        <v>316</v>
      </c>
      <c r="I1554" s="179" t="s">
        <v>2524</v>
      </c>
      <c r="J1554" s="179" t="s">
        <v>97</v>
      </c>
      <c r="K1554" s="127" t="s">
        <v>1903</v>
      </c>
      <c r="L1554" s="179" t="s">
        <v>154</v>
      </c>
      <c r="M1554"/>
      <c r="N1554"/>
    </row>
    <row r="1555" spans="1:14" ht="15.6" hidden="1">
      <c r="A1555" s="376">
        <v>45887</v>
      </c>
      <c r="B1555" s="179" t="s">
        <v>3710</v>
      </c>
      <c r="C1555" s="179" t="s">
        <v>173</v>
      </c>
      <c r="D1555" s="179" t="s">
        <v>442</v>
      </c>
      <c r="E1555" s="179">
        <v>2000</v>
      </c>
      <c r="F1555" s="317">
        <f t="shared" si="14"/>
        <v>3.5654310071272963</v>
      </c>
      <c r="G1555" s="318">
        <v>560.94200000000001</v>
      </c>
      <c r="H1555" s="179" t="s">
        <v>316</v>
      </c>
      <c r="I1555" s="179" t="s">
        <v>2523</v>
      </c>
      <c r="J1555" s="179" t="s">
        <v>97</v>
      </c>
      <c r="K1555" s="127" t="s">
        <v>1903</v>
      </c>
      <c r="L1555" s="179" t="s">
        <v>154</v>
      </c>
      <c r="M1555"/>
      <c r="N1555"/>
    </row>
    <row r="1556" spans="1:14" ht="15.6" hidden="1">
      <c r="A1556" s="376">
        <v>45887</v>
      </c>
      <c r="B1556" s="179" t="s">
        <v>2514</v>
      </c>
      <c r="C1556" s="179" t="s">
        <v>151</v>
      </c>
      <c r="D1556" s="179" t="s">
        <v>442</v>
      </c>
      <c r="E1556" s="179">
        <v>15000</v>
      </c>
      <c r="F1556" s="317">
        <f t="shared" si="14"/>
        <v>26.740732553454723</v>
      </c>
      <c r="G1556" s="318">
        <v>560.94200000000001</v>
      </c>
      <c r="H1556" s="179" t="s">
        <v>316</v>
      </c>
      <c r="I1556" s="179" t="s">
        <v>2525</v>
      </c>
      <c r="J1556" s="179" t="s">
        <v>97</v>
      </c>
      <c r="K1556" s="127" t="s">
        <v>1903</v>
      </c>
      <c r="L1556" s="179" t="s">
        <v>154</v>
      </c>
      <c r="M1556"/>
      <c r="N1556"/>
    </row>
    <row r="1557" spans="1:14" ht="15.6" hidden="1">
      <c r="A1557" s="376">
        <v>45887</v>
      </c>
      <c r="B1557" s="179" t="s">
        <v>3677</v>
      </c>
      <c r="C1557" s="179" t="s">
        <v>173</v>
      </c>
      <c r="D1557" s="179" t="s">
        <v>442</v>
      </c>
      <c r="E1557" s="369">
        <v>12000</v>
      </c>
      <c r="F1557" s="317">
        <f t="shared" si="14"/>
        <v>21.392586042763778</v>
      </c>
      <c r="G1557" s="318">
        <v>560.94200000000001</v>
      </c>
      <c r="H1557" s="179" t="s">
        <v>322</v>
      </c>
      <c r="I1557" s="179" t="s">
        <v>2573</v>
      </c>
      <c r="J1557" s="179" t="s">
        <v>97</v>
      </c>
      <c r="K1557" s="127" t="s">
        <v>1903</v>
      </c>
      <c r="L1557" s="179" t="s">
        <v>154</v>
      </c>
      <c r="M1557"/>
      <c r="N1557"/>
    </row>
    <row r="1558" spans="1:14" ht="15.6" hidden="1">
      <c r="A1558" s="376">
        <v>45887</v>
      </c>
      <c r="B1558" s="179" t="s">
        <v>2546</v>
      </c>
      <c r="C1558" s="179" t="s">
        <v>151</v>
      </c>
      <c r="D1558" s="179" t="s">
        <v>442</v>
      </c>
      <c r="E1558" s="369">
        <v>5000</v>
      </c>
      <c r="F1558" s="317">
        <f t="shared" si="14"/>
        <v>8.9135775178182417</v>
      </c>
      <c r="G1558" s="318">
        <v>560.94200000000001</v>
      </c>
      <c r="H1558" s="179" t="s">
        <v>322</v>
      </c>
      <c r="I1558" s="179" t="s">
        <v>2574</v>
      </c>
      <c r="J1558" s="179" t="s">
        <v>97</v>
      </c>
      <c r="K1558" s="127" t="s">
        <v>1903</v>
      </c>
      <c r="L1558" s="179" t="s">
        <v>154</v>
      </c>
      <c r="M1558"/>
      <c r="N1558"/>
    </row>
    <row r="1559" spans="1:14" ht="15.6" hidden="1">
      <c r="A1559" s="376">
        <v>45887</v>
      </c>
      <c r="B1559" s="179" t="s">
        <v>2547</v>
      </c>
      <c r="C1559" s="179" t="s">
        <v>151</v>
      </c>
      <c r="D1559" s="179" t="s">
        <v>442</v>
      </c>
      <c r="E1559" s="369">
        <v>10000</v>
      </c>
      <c r="F1559" s="317">
        <f t="shared" si="14"/>
        <v>17.827155035636483</v>
      </c>
      <c r="G1559" s="318">
        <v>560.94200000000001</v>
      </c>
      <c r="H1559" s="179" t="s">
        <v>322</v>
      </c>
      <c r="I1559" s="179" t="s">
        <v>2575</v>
      </c>
      <c r="J1559" s="179" t="s">
        <v>97</v>
      </c>
      <c r="K1559" s="127" t="s">
        <v>1903</v>
      </c>
      <c r="L1559" s="179" t="s">
        <v>154</v>
      </c>
      <c r="M1559"/>
      <c r="N1559"/>
    </row>
    <row r="1560" spans="1:14" ht="15.6" hidden="1">
      <c r="A1560" s="376">
        <v>45887</v>
      </c>
      <c r="B1560" s="179" t="s">
        <v>2584</v>
      </c>
      <c r="C1560" s="179" t="s">
        <v>173</v>
      </c>
      <c r="D1560" s="179" t="s">
        <v>116</v>
      </c>
      <c r="E1560" s="332">
        <v>500</v>
      </c>
      <c r="F1560" s="317">
        <f t="shared" si="14"/>
        <v>0.89135775178182408</v>
      </c>
      <c r="G1560" s="318">
        <v>560.94200000000001</v>
      </c>
      <c r="H1560" s="179" t="s">
        <v>189</v>
      </c>
      <c r="I1560" s="179" t="s">
        <v>2604</v>
      </c>
      <c r="J1560" s="179" t="s">
        <v>97</v>
      </c>
      <c r="K1560" s="127" t="s">
        <v>1903</v>
      </c>
      <c r="L1560" s="179" t="s">
        <v>154</v>
      </c>
      <c r="M1560"/>
      <c r="N1560"/>
    </row>
    <row r="1561" spans="1:14" ht="15.6" hidden="1">
      <c r="A1561" s="376">
        <v>45887</v>
      </c>
      <c r="B1561" s="179" t="s">
        <v>2585</v>
      </c>
      <c r="C1561" s="179" t="s">
        <v>173</v>
      </c>
      <c r="D1561" s="179" t="s">
        <v>116</v>
      </c>
      <c r="E1561" s="332">
        <v>500</v>
      </c>
      <c r="F1561" s="317">
        <f t="shared" si="14"/>
        <v>0.89135775178182408</v>
      </c>
      <c r="G1561" s="318">
        <v>560.94200000000001</v>
      </c>
      <c r="H1561" s="179" t="s">
        <v>189</v>
      </c>
      <c r="I1561" s="179" t="s">
        <v>2604</v>
      </c>
      <c r="J1561" s="179" t="s">
        <v>97</v>
      </c>
      <c r="K1561" s="127" t="s">
        <v>1903</v>
      </c>
      <c r="L1561" s="179" t="s">
        <v>154</v>
      </c>
      <c r="M1561"/>
      <c r="N1561"/>
    </row>
    <row r="1562" spans="1:14" ht="15.6" hidden="1">
      <c r="A1562" s="381">
        <v>45887</v>
      </c>
      <c r="B1562" s="179" t="s">
        <v>2341</v>
      </c>
      <c r="C1562" s="179" t="s">
        <v>181</v>
      </c>
      <c r="D1562" s="179" t="s">
        <v>117</v>
      </c>
      <c r="E1562" s="332">
        <v>32940</v>
      </c>
      <c r="F1562" s="317">
        <f t="shared" si="14"/>
        <v>58.722648687386574</v>
      </c>
      <c r="G1562" s="318">
        <v>560.94200000000001</v>
      </c>
      <c r="H1562" s="179" t="s">
        <v>189</v>
      </c>
      <c r="I1562" s="179" t="s">
        <v>2342</v>
      </c>
      <c r="J1562" s="179" t="s">
        <v>97</v>
      </c>
      <c r="K1562" s="127" t="s">
        <v>1903</v>
      </c>
      <c r="L1562" s="179" t="s">
        <v>154</v>
      </c>
      <c r="M1562"/>
      <c r="N1562"/>
    </row>
    <row r="1563" spans="1:14" ht="15.6" hidden="1">
      <c r="A1563" s="376">
        <v>45887</v>
      </c>
      <c r="B1563" s="179" t="s">
        <v>2586</v>
      </c>
      <c r="C1563" s="179" t="s">
        <v>151</v>
      </c>
      <c r="D1563" s="179" t="s">
        <v>116</v>
      </c>
      <c r="E1563" s="332">
        <v>5000</v>
      </c>
      <c r="F1563" s="317">
        <f t="shared" si="14"/>
        <v>8.9135775178182417</v>
      </c>
      <c r="G1563" s="318">
        <v>560.94200000000001</v>
      </c>
      <c r="H1563" s="179" t="s">
        <v>189</v>
      </c>
      <c r="I1563" s="179" t="s">
        <v>2605</v>
      </c>
      <c r="J1563" s="179" t="s">
        <v>97</v>
      </c>
      <c r="K1563" s="127" t="s">
        <v>1903</v>
      </c>
      <c r="L1563" s="179" t="s">
        <v>154</v>
      </c>
      <c r="M1563"/>
      <c r="N1563"/>
    </row>
    <row r="1564" spans="1:14" ht="15.6" hidden="1">
      <c r="A1564" s="376">
        <v>45887</v>
      </c>
      <c r="B1564" s="179" t="s">
        <v>2587</v>
      </c>
      <c r="C1564" s="179" t="s">
        <v>151</v>
      </c>
      <c r="D1564" s="179" t="s">
        <v>116</v>
      </c>
      <c r="E1564" s="332">
        <v>5000</v>
      </c>
      <c r="F1564" s="317">
        <f t="shared" si="14"/>
        <v>8.9135775178182417</v>
      </c>
      <c r="G1564" s="318">
        <v>560.94200000000001</v>
      </c>
      <c r="H1564" s="179" t="s">
        <v>189</v>
      </c>
      <c r="I1564" s="179" t="s">
        <v>2606</v>
      </c>
      <c r="J1564" s="179" t="s">
        <v>97</v>
      </c>
      <c r="K1564" s="127" t="s">
        <v>1903</v>
      </c>
      <c r="L1564" s="179" t="s">
        <v>154</v>
      </c>
      <c r="M1564"/>
      <c r="N1564"/>
    </row>
    <row r="1565" spans="1:14" ht="15.6" hidden="1">
      <c r="A1565" s="379">
        <v>45887</v>
      </c>
      <c r="B1565" s="179" t="s">
        <v>2612</v>
      </c>
      <c r="C1565" s="179" t="s">
        <v>173</v>
      </c>
      <c r="D1565" s="179" t="s">
        <v>116</v>
      </c>
      <c r="E1565" s="332">
        <v>1000</v>
      </c>
      <c r="F1565" s="317">
        <f t="shared" si="14"/>
        <v>1.7827155035636482</v>
      </c>
      <c r="G1565" s="318">
        <v>560.94200000000001</v>
      </c>
      <c r="H1565" s="179" t="s">
        <v>192</v>
      </c>
      <c r="I1565" s="179" t="s">
        <v>2647</v>
      </c>
      <c r="J1565" s="179" t="s">
        <v>97</v>
      </c>
      <c r="K1565" s="127" t="s">
        <v>1903</v>
      </c>
      <c r="L1565" s="179" t="s">
        <v>154</v>
      </c>
      <c r="M1565"/>
      <c r="N1565"/>
    </row>
    <row r="1566" spans="1:14" ht="15.6" hidden="1">
      <c r="A1566" s="379">
        <v>45887</v>
      </c>
      <c r="B1566" s="179" t="s">
        <v>2613</v>
      </c>
      <c r="C1566" s="179" t="s">
        <v>173</v>
      </c>
      <c r="D1566" s="179" t="s">
        <v>116</v>
      </c>
      <c r="E1566" s="332">
        <v>8000</v>
      </c>
      <c r="F1566" s="317">
        <f t="shared" si="14"/>
        <v>14.261724028509185</v>
      </c>
      <c r="G1566" s="318">
        <v>560.94200000000001</v>
      </c>
      <c r="H1566" s="179" t="s">
        <v>192</v>
      </c>
      <c r="I1566" s="179" t="s">
        <v>2648</v>
      </c>
      <c r="J1566" s="179" t="s">
        <v>97</v>
      </c>
      <c r="K1566" s="127" t="s">
        <v>1903</v>
      </c>
      <c r="L1566" s="179" t="s">
        <v>154</v>
      </c>
      <c r="M1566"/>
      <c r="N1566"/>
    </row>
    <row r="1567" spans="1:14" ht="15.6" hidden="1">
      <c r="A1567" s="379">
        <v>45887</v>
      </c>
      <c r="B1567" s="179" t="s">
        <v>2614</v>
      </c>
      <c r="C1567" s="179" t="s">
        <v>173</v>
      </c>
      <c r="D1567" s="179" t="s">
        <v>116</v>
      </c>
      <c r="E1567" s="332">
        <v>1000</v>
      </c>
      <c r="F1567" s="317">
        <f t="shared" si="14"/>
        <v>1.7827155035636482</v>
      </c>
      <c r="G1567" s="318">
        <v>560.94200000000001</v>
      </c>
      <c r="H1567" s="179" t="s">
        <v>192</v>
      </c>
      <c r="I1567" s="179" t="s">
        <v>2647</v>
      </c>
      <c r="J1567" s="179" t="s">
        <v>97</v>
      </c>
      <c r="K1567" s="127" t="s">
        <v>1903</v>
      </c>
      <c r="L1567" s="179" t="s">
        <v>154</v>
      </c>
      <c r="M1567"/>
      <c r="N1567"/>
    </row>
    <row r="1568" spans="1:14" ht="15.6" hidden="1">
      <c r="A1568" s="379">
        <v>45887</v>
      </c>
      <c r="B1568" s="179" t="s">
        <v>2615</v>
      </c>
      <c r="C1568" s="179" t="s">
        <v>151</v>
      </c>
      <c r="D1568" s="179" t="s">
        <v>116</v>
      </c>
      <c r="E1568" s="332">
        <v>10000</v>
      </c>
      <c r="F1568" s="317">
        <f t="shared" ref="F1568:F1642" si="15">E1568/G1568</f>
        <v>17.827155035636483</v>
      </c>
      <c r="G1568" s="318">
        <v>560.94200000000001</v>
      </c>
      <c r="H1568" s="179" t="s">
        <v>192</v>
      </c>
      <c r="I1568" s="179" t="s">
        <v>2649</v>
      </c>
      <c r="J1568" s="179" t="s">
        <v>97</v>
      </c>
      <c r="K1568" s="127" t="s">
        <v>1903</v>
      </c>
      <c r="L1568" s="179" t="s">
        <v>154</v>
      </c>
      <c r="M1568"/>
      <c r="N1568"/>
    </row>
    <row r="1569" spans="1:14" ht="15.6" hidden="1">
      <c r="A1569" s="375">
        <v>45887</v>
      </c>
      <c r="B1569" s="179" t="s">
        <v>2671</v>
      </c>
      <c r="C1569" s="396" t="s">
        <v>195</v>
      </c>
      <c r="D1569" s="396" t="s">
        <v>116</v>
      </c>
      <c r="E1569" s="369">
        <v>500</v>
      </c>
      <c r="F1569" s="317">
        <f t="shared" si="15"/>
        <v>0.89135775178182408</v>
      </c>
      <c r="G1569" s="318">
        <v>560.94200000000001</v>
      </c>
      <c r="H1569" s="256" t="s">
        <v>196</v>
      </c>
      <c r="I1569" s="179" t="s">
        <v>2707</v>
      </c>
      <c r="J1569" s="179" t="s">
        <v>97</v>
      </c>
      <c r="K1569" s="127" t="s">
        <v>1903</v>
      </c>
      <c r="L1569" s="179" t="s">
        <v>154</v>
      </c>
      <c r="M1569"/>
      <c r="N1569"/>
    </row>
    <row r="1570" spans="1:14" ht="15.6" hidden="1">
      <c r="A1570" s="375">
        <v>45887</v>
      </c>
      <c r="B1570" s="179" t="s">
        <v>2672</v>
      </c>
      <c r="C1570" s="396" t="s">
        <v>195</v>
      </c>
      <c r="D1570" s="396" t="s">
        <v>116</v>
      </c>
      <c r="E1570" s="369">
        <v>500</v>
      </c>
      <c r="F1570" s="317">
        <f t="shared" si="15"/>
        <v>0.89135775178182408</v>
      </c>
      <c r="G1570" s="318">
        <v>560.94200000000001</v>
      </c>
      <c r="H1570" s="256" t="s">
        <v>196</v>
      </c>
      <c r="I1570" s="179" t="s">
        <v>2707</v>
      </c>
      <c r="J1570" s="179" t="s">
        <v>97</v>
      </c>
      <c r="K1570" s="127" t="s">
        <v>1903</v>
      </c>
      <c r="L1570" s="179" t="s">
        <v>154</v>
      </c>
      <c r="M1570"/>
      <c r="N1570"/>
    </row>
    <row r="1571" spans="1:14" ht="15.6" hidden="1">
      <c r="A1571" s="375">
        <v>45887</v>
      </c>
      <c r="B1571" s="179" t="s">
        <v>2673</v>
      </c>
      <c r="C1571" s="396" t="s">
        <v>151</v>
      </c>
      <c r="D1571" s="396" t="s">
        <v>116</v>
      </c>
      <c r="E1571" s="369">
        <v>10000</v>
      </c>
      <c r="F1571" s="317">
        <f t="shared" si="15"/>
        <v>17.827155035636483</v>
      </c>
      <c r="G1571" s="318">
        <v>560.94200000000001</v>
      </c>
      <c r="H1571" s="256" t="s">
        <v>196</v>
      </c>
      <c r="I1571" s="179" t="s">
        <v>2712</v>
      </c>
      <c r="J1571" s="179" t="s">
        <v>97</v>
      </c>
      <c r="K1571" s="127" t="s">
        <v>1903</v>
      </c>
      <c r="L1571" s="179" t="s">
        <v>154</v>
      </c>
      <c r="M1571"/>
      <c r="N1571"/>
    </row>
    <row r="1572" spans="1:14" ht="15.6" hidden="1">
      <c r="A1572" s="376">
        <v>45887</v>
      </c>
      <c r="B1572" s="179" t="s">
        <v>2673</v>
      </c>
      <c r="C1572" s="396" t="s">
        <v>151</v>
      </c>
      <c r="D1572" s="179" t="s">
        <v>119</v>
      </c>
      <c r="E1572" s="369">
        <v>10000</v>
      </c>
      <c r="F1572" s="317">
        <f t="shared" si="15"/>
        <v>17.827155035636483</v>
      </c>
      <c r="G1572" s="318">
        <v>560.94200000000001</v>
      </c>
      <c r="H1572" s="179" t="s">
        <v>212</v>
      </c>
      <c r="I1572" s="179" t="s">
        <v>2745</v>
      </c>
      <c r="J1572" s="179" t="s">
        <v>97</v>
      </c>
      <c r="K1572" s="127" t="s">
        <v>1903</v>
      </c>
      <c r="L1572" s="179" t="s">
        <v>154</v>
      </c>
      <c r="M1572"/>
      <c r="N1572"/>
    </row>
    <row r="1573" spans="1:14" ht="15.6" hidden="1">
      <c r="A1573" s="376">
        <v>45887</v>
      </c>
      <c r="B1573" s="179" t="s">
        <v>2749</v>
      </c>
      <c r="C1573" s="179" t="s">
        <v>151</v>
      </c>
      <c r="D1573" s="179" t="s">
        <v>116</v>
      </c>
      <c r="E1573" s="179">
        <v>10000</v>
      </c>
      <c r="F1573" s="317">
        <f t="shared" si="15"/>
        <v>17.827155035636483</v>
      </c>
      <c r="G1573" s="318">
        <v>560.94200000000001</v>
      </c>
      <c r="H1573" s="179" t="s">
        <v>186</v>
      </c>
      <c r="I1573" s="179" t="s">
        <v>2760</v>
      </c>
      <c r="J1573" s="179" t="s">
        <v>97</v>
      </c>
      <c r="K1573" s="127" t="s">
        <v>1903</v>
      </c>
      <c r="L1573" s="179" t="s">
        <v>154</v>
      </c>
      <c r="M1573"/>
      <c r="N1573"/>
    </row>
    <row r="1574" spans="1:14" ht="15.6" hidden="1">
      <c r="A1574" s="372">
        <v>45888</v>
      </c>
      <c r="B1574" s="396" t="s">
        <v>2100</v>
      </c>
      <c r="C1574" s="303" t="s">
        <v>173</v>
      </c>
      <c r="D1574" s="303" t="s">
        <v>118</v>
      </c>
      <c r="E1574" s="396">
        <v>1000</v>
      </c>
      <c r="F1574" s="317">
        <f t="shared" si="15"/>
        <v>1.7827155035636482</v>
      </c>
      <c r="G1574" s="318">
        <v>560.94200000000001</v>
      </c>
      <c r="H1574" s="403" t="s">
        <v>152</v>
      </c>
      <c r="I1574" s="404" t="s">
        <v>2425</v>
      </c>
      <c r="J1574" s="179" t="s">
        <v>97</v>
      </c>
      <c r="K1574" s="127" t="s">
        <v>1903</v>
      </c>
      <c r="L1574" s="179" t="s">
        <v>154</v>
      </c>
      <c r="M1574" s="390"/>
      <c r="N1574" s="390"/>
    </row>
    <row r="1575" spans="1:14" ht="15.6" hidden="1">
      <c r="A1575" s="372">
        <v>45888</v>
      </c>
      <c r="B1575" s="396" t="s">
        <v>2109</v>
      </c>
      <c r="C1575" s="303" t="s">
        <v>173</v>
      </c>
      <c r="D1575" s="303" t="s">
        <v>118</v>
      </c>
      <c r="E1575" s="396">
        <v>1000</v>
      </c>
      <c r="F1575" s="317">
        <f t="shared" si="15"/>
        <v>1.7827155035636482</v>
      </c>
      <c r="G1575" s="318">
        <v>560.94200000000001</v>
      </c>
      <c r="H1575" s="403" t="s">
        <v>152</v>
      </c>
      <c r="I1575" s="404" t="s">
        <v>2425</v>
      </c>
      <c r="J1575" s="179" t="s">
        <v>97</v>
      </c>
      <c r="K1575" s="127" t="s">
        <v>1903</v>
      </c>
      <c r="L1575" s="179" t="s">
        <v>154</v>
      </c>
      <c r="M1575" s="390"/>
      <c r="N1575" s="390"/>
    </row>
    <row r="1576" spans="1:14" ht="15.6" hidden="1">
      <c r="A1576" s="372">
        <v>45888</v>
      </c>
      <c r="B1576" s="396" t="s">
        <v>2110</v>
      </c>
      <c r="C1576" s="303" t="s">
        <v>173</v>
      </c>
      <c r="D1576" s="303" t="s">
        <v>118</v>
      </c>
      <c r="E1576" s="396">
        <v>1000</v>
      </c>
      <c r="F1576" s="317">
        <f t="shared" si="15"/>
        <v>1.7827155035636482</v>
      </c>
      <c r="G1576" s="318">
        <v>560.94200000000001</v>
      </c>
      <c r="H1576" s="403" t="s">
        <v>152</v>
      </c>
      <c r="I1576" s="404" t="s">
        <v>2425</v>
      </c>
      <c r="J1576" s="179" t="s">
        <v>97</v>
      </c>
      <c r="K1576" s="127" t="s">
        <v>1903</v>
      </c>
      <c r="L1576" s="179" t="s">
        <v>154</v>
      </c>
      <c r="M1576" s="390"/>
      <c r="N1576" s="390"/>
    </row>
    <row r="1577" spans="1:14" ht="15.6" hidden="1">
      <c r="A1577" s="372">
        <v>45888</v>
      </c>
      <c r="B1577" s="396" t="s">
        <v>2101</v>
      </c>
      <c r="C1577" s="303" t="s">
        <v>173</v>
      </c>
      <c r="D1577" s="303" t="s">
        <v>118</v>
      </c>
      <c r="E1577" s="396">
        <v>1000</v>
      </c>
      <c r="F1577" s="317">
        <f t="shared" si="15"/>
        <v>1.7827155035636482</v>
      </c>
      <c r="G1577" s="318">
        <v>560.94200000000001</v>
      </c>
      <c r="H1577" s="403" t="s">
        <v>152</v>
      </c>
      <c r="I1577" s="404" t="s">
        <v>2425</v>
      </c>
      <c r="J1577" s="179" t="s">
        <v>97</v>
      </c>
      <c r="K1577" s="127" t="s">
        <v>1903</v>
      </c>
      <c r="L1577" s="179" t="s">
        <v>154</v>
      </c>
      <c r="M1577" s="390"/>
      <c r="N1577" s="390"/>
    </row>
    <row r="1578" spans="1:14" ht="15.6" hidden="1">
      <c r="A1578" s="378">
        <v>45888</v>
      </c>
      <c r="B1578" s="179" t="s">
        <v>2446</v>
      </c>
      <c r="C1578" s="179" t="s">
        <v>173</v>
      </c>
      <c r="D1578" s="179" t="s">
        <v>117</v>
      </c>
      <c r="E1578" s="332">
        <v>1000</v>
      </c>
      <c r="F1578" s="317">
        <f t="shared" si="15"/>
        <v>1.7827155035636482</v>
      </c>
      <c r="G1578" s="318">
        <v>560.94200000000001</v>
      </c>
      <c r="H1578" s="179" t="s">
        <v>583</v>
      </c>
      <c r="I1578" s="179" t="s">
        <v>2464</v>
      </c>
      <c r="J1578" s="179" t="s">
        <v>97</v>
      </c>
      <c r="K1578" s="127" t="s">
        <v>1903</v>
      </c>
      <c r="L1578" s="179" t="s">
        <v>154</v>
      </c>
      <c r="M1578" s="390"/>
      <c r="N1578" s="390"/>
    </row>
    <row r="1579" spans="1:14" ht="15.6" hidden="1">
      <c r="A1579" s="378">
        <v>45888</v>
      </c>
      <c r="B1579" s="179" t="s">
        <v>2447</v>
      </c>
      <c r="C1579" s="179" t="s">
        <v>173</v>
      </c>
      <c r="D1579" s="179" t="s">
        <v>117</v>
      </c>
      <c r="E1579" s="332">
        <v>1000</v>
      </c>
      <c r="F1579" s="317">
        <f t="shared" si="15"/>
        <v>1.7827155035636482</v>
      </c>
      <c r="G1579" s="318">
        <v>560.94200000000001</v>
      </c>
      <c r="H1579" s="179" t="s">
        <v>583</v>
      </c>
      <c r="I1579" s="179" t="s">
        <v>2464</v>
      </c>
      <c r="J1579" s="179" t="s">
        <v>97</v>
      </c>
      <c r="K1579" s="127" t="s">
        <v>1903</v>
      </c>
      <c r="L1579" s="179" t="s">
        <v>154</v>
      </c>
      <c r="M1579" s="390"/>
      <c r="N1579" s="390"/>
    </row>
    <row r="1580" spans="1:14" ht="15.6" hidden="1">
      <c r="A1580" s="378">
        <v>45888</v>
      </c>
      <c r="B1580" s="179" t="s">
        <v>2448</v>
      </c>
      <c r="C1580" s="179" t="s">
        <v>173</v>
      </c>
      <c r="D1580" s="179" t="s">
        <v>117</v>
      </c>
      <c r="E1580" s="332">
        <v>1000</v>
      </c>
      <c r="F1580" s="317">
        <f t="shared" si="15"/>
        <v>1.7827155035636482</v>
      </c>
      <c r="G1580" s="318">
        <v>560.94200000000001</v>
      </c>
      <c r="H1580" s="179" t="s">
        <v>583</v>
      </c>
      <c r="I1580" s="179" t="s">
        <v>2464</v>
      </c>
      <c r="J1580" s="179" t="s">
        <v>97</v>
      </c>
      <c r="K1580" s="127" t="s">
        <v>1903</v>
      </c>
      <c r="L1580" s="179" t="s">
        <v>154</v>
      </c>
      <c r="M1580" s="390"/>
      <c r="N1580" s="390"/>
    </row>
    <row r="1581" spans="1:14" ht="15.6" hidden="1">
      <c r="A1581" s="378">
        <v>45888</v>
      </c>
      <c r="B1581" s="179" t="s">
        <v>2449</v>
      </c>
      <c r="C1581" s="179" t="s">
        <v>173</v>
      </c>
      <c r="D1581" s="179" t="s">
        <v>117</v>
      </c>
      <c r="E1581" s="332">
        <v>1000</v>
      </c>
      <c r="F1581" s="317">
        <f t="shared" si="15"/>
        <v>1.7827155035636482</v>
      </c>
      <c r="G1581" s="318">
        <v>560.94200000000001</v>
      </c>
      <c r="H1581" s="179" t="s">
        <v>583</v>
      </c>
      <c r="I1581" s="179" t="s">
        <v>2464</v>
      </c>
      <c r="J1581" s="179" t="s">
        <v>97</v>
      </c>
      <c r="K1581" s="127" t="s">
        <v>1903</v>
      </c>
      <c r="L1581" s="179" t="s">
        <v>154</v>
      </c>
      <c r="M1581" s="390"/>
      <c r="N1581" s="390"/>
    </row>
    <row r="1582" spans="1:14" ht="15.6" hidden="1">
      <c r="A1582" s="378">
        <v>45888</v>
      </c>
      <c r="B1582" s="179" t="s">
        <v>2450</v>
      </c>
      <c r="C1582" s="179" t="s">
        <v>173</v>
      </c>
      <c r="D1582" s="179" t="s">
        <v>117</v>
      </c>
      <c r="E1582" s="332">
        <v>1000</v>
      </c>
      <c r="F1582" s="317">
        <f t="shared" si="15"/>
        <v>1.7827155035636482</v>
      </c>
      <c r="G1582" s="318">
        <v>560.94200000000001</v>
      </c>
      <c r="H1582" s="179" t="s">
        <v>583</v>
      </c>
      <c r="I1582" s="179" t="s">
        <v>2464</v>
      </c>
      <c r="J1582" s="179" t="s">
        <v>97</v>
      </c>
      <c r="K1582" s="127" t="s">
        <v>1903</v>
      </c>
      <c r="L1582" s="179" t="s">
        <v>154</v>
      </c>
      <c r="M1582" s="390"/>
      <c r="N1582" s="390"/>
    </row>
    <row r="1583" spans="1:14" ht="15.6" hidden="1">
      <c r="A1583" s="381">
        <v>45888</v>
      </c>
      <c r="B1583" s="179" t="s">
        <v>2345</v>
      </c>
      <c r="C1583" s="179" t="s">
        <v>126</v>
      </c>
      <c r="D1583" s="179" t="s">
        <v>116</v>
      </c>
      <c r="E1583" s="332">
        <v>10500</v>
      </c>
      <c r="F1583" s="317">
        <f t="shared" si="15"/>
        <v>18.718512787418305</v>
      </c>
      <c r="G1583" s="318">
        <v>560.94200000000001</v>
      </c>
      <c r="H1583" s="179" t="s">
        <v>583</v>
      </c>
      <c r="I1583" s="179" t="s">
        <v>2346</v>
      </c>
      <c r="J1583" s="179" t="s">
        <v>97</v>
      </c>
      <c r="K1583" s="127" t="s">
        <v>1903</v>
      </c>
      <c r="L1583" s="179" t="s">
        <v>154</v>
      </c>
      <c r="M1583" s="390"/>
      <c r="N1583" s="390"/>
    </row>
    <row r="1584" spans="1:14" ht="15.6" hidden="1">
      <c r="A1584" s="381">
        <v>45888</v>
      </c>
      <c r="B1584" s="179" t="s">
        <v>2803</v>
      </c>
      <c r="C1584" s="179" t="s">
        <v>171</v>
      </c>
      <c r="D1584" s="179" t="s">
        <v>117</v>
      </c>
      <c r="E1584" s="332">
        <v>11000</v>
      </c>
      <c r="F1584" s="317">
        <f t="shared" si="15"/>
        <v>19.609870539200131</v>
      </c>
      <c r="G1584" s="318">
        <v>560.94200000000001</v>
      </c>
      <c r="H1584" s="399" t="s">
        <v>583</v>
      </c>
      <c r="I1584" s="179" t="s">
        <v>2347</v>
      </c>
      <c r="J1584" s="179" t="s">
        <v>97</v>
      </c>
      <c r="K1584" s="127" t="s">
        <v>1903</v>
      </c>
      <c r="L1584" s="179" t="s">
        <v>154</v>
      </c>
      <c r="M1584" s="390"/>
      <c r="N1584" s="390"/>
    </row>
    <row r="1585" spans="1:14" ht="15.6" hidden="1">
      <c r="A1585" s="381">
        <v>45888</v>
      </c>
      <c r="B1585" s="179" t="s">
        <v>2804</v>
      </c>
      <c r="C1585" s="179" t="s">
        <v>171</v>
      </c>
      <c r="D1585" s="179" t="s">
        <v>117</v>
      </c>
      <c r="E1585" s="332">
        <v>5000</v>
      </c>
      <c r="F1585" s="317">
        <f t="shared" si="15"/>
        <v>8.9135775178182417</v>
      </c>
      <c r="G1585" s="318">
        <v>560.94200000000001</v>
      </c>
      <c r="H1585" s="399" t="s">
        <v>583</v>
      </c>
      <c r="I1585" s="179" t="s">
        <v>2347</v>
      </c>
      <c r="J1585" s="179" t="s">
        <v>97</v>
      </c>
      <c r="K1585" s="127" t="s">
        <v>1903</v>
      </c>
      <c r="L1585" s="179" t="s">
        <v>154</v>
      </c>
      <c r="M1585" s="390"/>
      <c r="N1585" s="390"/>
    </row>
    <row r="1586" spans="1:14" ht="15.6" hidden="1">
      <c r="A1586" s="381">
        <v>45888</v>
      </c>
      <c r="B1586" s="179" t="s">
        <v>2813</v>
      </c>
      <c r="C1586" s="179" t="s">
        <v>171</v>
      </c>
      <c r="D1586" s="179" t="s">
        <v>117</v>
      </c>
      <c r="E1586" s="332">
        <v>11700</v>
      </c>
      <c r="F1586" s="317">
        <f t="shared" si="15"/>
        <v>20.857771391694683</v>
      </c>
      <c r="G1586" s="318">
        <v>560.94200000000001</v>
      </c>
      <c r="H1586" s="399" t="s">
        <v>583</v>
      </c>
      <c r="I1586" s="179" t="s">
        <v>2347</v>
      </c>
      <c r="J1586" s="179" t="s">
        <v>97</v>
      </c>
      <c r="K1586" s="127" t="s">
        <v>1903</v>
      </c>
      <c r="L1586" s="179" t="s">
        <v>154</v>
      </c>
      <c r="M1586" s="390"/>
      <c r="N1586" s="390"/>
    </row>
    <row r="1587" spans="1:14" ht="15.6" hidden="1">
      <c r="A1587" s="381">
        <v>45888</v>
      </c>
      <c r="B1587" s="179" t="s">
        <v>2805</v>
      </c>
      <c r="C1587" s="179" t="s">
        <v>171</v>
      </c>
      <c r="D1587" s="179" t="s">
        <v>117</v>
      </c>
      <c r="E1587" s="332">
        <v>2500</v>
      </c>
      <c r="F1587" s="317">
        <f t="shared" si="15"/>
        <v>4.4567887589091209</v>
      </c>
      <c r="G1587" s="318">
        <v>560.94200000000001</v>
      </c>
      <c r="H1587" s="399" t="s">
        <v>583</v>
      </c>
      <c r="I1587" s="179" t="s">
        <v>2347</v>
      </c>
      <c r="J1587" s="179" t="s">
        <v>97</v>
      </c>
      <c r="K1587" s="127" t="s">
        <v>1903</v>
      </c>
      <c r="L1587" s="179" t="s">
        <v>154</v>
      </c>
      <c r="M1587" s="390"/>
      <c r="N1587" s="390"/>
    </row>
    <row r="1588" spans="1:14" ht="15.6" hidden="1">
      <c r="A1588" s="381">
        <v>45888</v>
      </c>
      <c r="B1588" s="179" t="s">
        <v>2806</v>
      </c>
      <c r="C1588" s="179" t="s">
        <v>171</v>
      </c>
      <c r="D1588" s="179" t="s">
        <v>117</v>
      </c>
      <c r="E1588" s="332">
        <v>3500</v>
      </c>
      <c r="F1588" s="317">
        <f t="shared" si="15"/>
        <v>6.239504262472769</v>
      </c>
      <c r="G1588" s="318">
        <v>560.94200000000001</v>
      </c>
      <c r="H1588" s="399" t="s">
        <v>583</v>
      </c>
      <c r="I1588" s="179" t="s">
        <v>2347</v>
      </c>
      <c r="J1588" s="179" t="s">
        <v>97</v>
      </c>
      <c r="K1588" s="127" t="s">
        <v>1903</v>
      </c>
      <c r="L1588" s="179" t="s">
        <v>154</v>
      </c>
      <c r="M1588" s="390"/>
      <c r="N1588" s="390"/>
    </row>
    <row r="1589" spans="1:14" ht="15.6" hidden="1">
      <c r="A1589" s="381">
        <v>45888</v>
      </c>
      <c r="B1589" s="179" t="s">
        <v>2807</v>
      </c>
      <c r="C1589" s="179" t="s">
        <v>171</v>
      </c>
      <c r="D1589" s="179" t="s">
        <v>117</v>
      </c>
      <c r="E1589" s="332">
        <v>2750</v>
      </c>
      <c r="F1589" s="317">
        <f t="shared" si="15"/>
        <v>4.9024676348000327</v>
      </c>
      <c r="G1589" s="318">
        <v>560.94200000000001</v>
      </c>
      <c r="H1589" s="399" t="s">
        <v>583</v>
      </c>
      <c r="I1589" s="179" t="s">
        <v>2347</v>
      </c>
      <c r="J1589" s="179" t="s">
        <v>97</v>
      </c>
      <c r="K1589" s="127" t="s">
        <v>1903</v>
      </c>
      <c r="L1589" s="179" t="s">
        <v>154</v>
      </c>
      <c r="M1589" s="390"/>
      <c r="N1589" s="390"/>
    </row>
    <row r="1590" spans="1:14" ht="15.6" hidden="1">
      <c r="A1590" s="381">
        <v>45888</v>
      </c>
      <c r="B1590" s="179" t="s">
        <v>2808</v>
      </c>
      <c r="C1590" s="179" t="s">
        <v>171</v>
      </c>
      <c r="D1590" s="179" t="s">
        <v>117</v>
      </c>
      <c r="E1590" s="332">
        <v>3500</v>
      </c>
      <c r="F1590" s="317">
        <f t="shared" si="15"/>
        <v>6.239504262472769</v>
      </c>
      <c r="G1590" s="318">
        <v>560.94200000000001</v>
      </c>
      <c r="H1590" s="399" t="s">
        <v>583</v>
      </c>
      <c r="I1590" s="179" t="s">
        <v>2347</v>
      </c>
      <c r="J1590" s="179" t="s">
        <v>97</v>
      </c>
      <c r="K1590" s="127" t="s">
        <v>1903</v>
      </c>
      <c r="L1590" s="179" t="s">
        <v>154</v>
      </c>
      <c r="M1590" s="390"/>
      <c r="N1590" s="390"/>
    </row>
    <row r="1591" spans="1:14" ht="15.6" hidden="1">
      <c r="A1591" s="381">
        <v>45888</v>
      </c>
      <c r="B1591" s="179" t="s">
        <v>2809</v>
      </c>
      <c r="C1591" s="179" t="s">
        <v>171</v>
      </c>
      <c r="D1591" s="179" t="s">
        <v>117</v>
      </c>
      <c r="E1591" s="332">
        <v>1500</v>
      </c>
      <c r="F1591" s="317">
        <f t="shared" si="15"/>
        <v>2.6740732553454722</v>
      </c>
      <c r="G1591" s="318">
        <v>560.94200000000001</v>
      </c>
      <c r="H1591" s="399" t="s">
        <v>583</v>
      </c>
      <c r="I1591" s="179" t="s">
        <v>2347</v>
      </c>
      <c r="J1591" s="179" t="s">
        <v>97</v>
      </c>
      <c r="K1591" s="127" t="s">
        <v>1903</v>
      </c>
      <c r="L1591" s="179" t="s">
        <v>154</v>
      </c>
      <c r="M1591" s="390"/>
      <c r="N1591" s="390"/>
    </row>
    <row r="1592" spans="1:14" ht="15.6" hidden="1">
      <c r="A1592" s="381">
        <v>45888</v>
      </c>
      <c r="B1592" s="179" t="s">
        <v>2810</v>
      </c>
      <c r="C1592" s="179" t="s">
        <v>171</v>
      </c>
      <c r="D1592" s="179" t="s">
        <v>117</v>
      </c>
      <c r="E1592" s="332">
        <v>1900</v>
      </c>
      <c r="F1592" s="317">
        <f t="shared" si="15"/>
        <v>3.3871594567709318</v>
      </c>
      <c r="G1592" s="318">
        <v>560.94200000000001</v>
      </c>
      <c r="H1592" s="399" t="s">
        <v>583</v>
      </c>
      <c r="I1592" s="179" t="s">
        <v>2347</v>
      </c>
      <c r="J1592" s="179" t="s">
        <v>97</v>
      </c>
      <c r="K1592" s="127" t="s">
        <v>1903</v>
      </c>
      <c r="L1592" s="179" t="s">
        <v>154</v>
      </c>
      <c r="M1592" s="390"/>
      <c r="N1592" s="390"/>
    </row>
    <row r="1593" spans="1:14" ht="15.6" hidden="1">
      <c r="A1593" s="381">
        <v>45888</v>
      </c>
      <c r="B1593" s="179" t="s">
        <v>2811</v>
      </c>
      <c r="C1593" s="179" t="s">
        <v>171</v>
      </c>
      <c r="D1593" s="179" t="s">
        <v>117</v>
      </c>
      <c r="E1593" s="332">
        <v>3700</v>
      </c>
      <c r="F1593" s="317">
        <f t="shared" si="15"/>
        <v>6.596047363185499</v>
      </c>
      <c r="G1593" s="318">
        <v>560.94200000000001</v>
      </c>
      <c r="H1593" s="399" t="s">
        <v>583</v>
      </c>
      <c r="I1593" s="179" t="s">
        <v>2347</v>
      </c>
      <c r="J1593" s="179" t="s">
        <v>97</v>
      </c>
      <c r="K1593" s="127" t="s">
        <v>1903</v>
      </c>
      <c r="L1593" s="179" t="s">
        <v>154</v>
      </c>
      <c r="M1593" s="390"/>
      <c r="N1593" s="390"/>
    </row>
    <row r="1594" spans="1:14" ht="15.6" hidden="1">
      <c r="A1594" s="381">
        <v>45888</v>
      </c>
      <c r="B1594" s="179" t="s">
        <v>2812</v>
      </c>
      <c r="C1594" s="179" t="s">
        <v>171</v>
      </c>
      <c r="D1594" s="179" t="s">
        <v>117</v>
      </c>
      <c r="E1594" s="332">
        <v>3500</v>
      </c>
      <c r="F1594" s="317">
        <f t="shared" si="15"/>
        <v>6.239504262472769</v>
      </c>
      <c r="G1594" s="318">
        <v>560.94200000000001</v>
      </c>
      <c r="H1594" s="399" t="s">
        <v>583</v>
      </c>
      <c r="I1594" s="179" t="s">
        <v>2347</v>
      </c>
      <c r="J1594" s="179" t="s">
        <v>97</v>
      </c>
      <c r="K1594" s="127" t="s">
        <v>1903</v>
      </c>
      <c r="L1594" s="179" t="s">
        <v>154</v>
      </c>
      <c r="M1594" s="390"/>
      <c r="N1594" s="390"/>
    </row>
    <row r="1595" spans="1:14" ht="15.6" hidden="1">
      <c r="A1595" s="381">
        <v>45888</v>
      </c>
      <c r="B1595" s="179" t="s">
        <v>2814</v>
      </c>
      <c r="C1595" s="179" t="s">
        <v>171</v>
      </c>
      <c r="D1595" s="179" t="s">
        <v>117</v>
      </c>
      <c r="E1595" s="332">
        <v>2000</v>
      </c>
      <c r="F1595" s="317">
        <f t="shared" si="15"/>
        <v>3.5654310071272963</v>
      </c>
      <c r="G1595" s="318">
        <v>560.94200000000001</v>
      </c>
      <c r="H1595" s="399" t="s">
        <v>583</v>
      </c>
      <c r="I1595" s="179" t="s">
        <v>2347</v>
      </c>
      <c r="J1595" s="179" t="s">
        <v>97</v>
      </c>
      <c r="K1595" s="127" t="s">
        <v>1903</v>
      </c>
      <c r="L1595" s="179" t="s">
        <v>154</v>
      </c>
      <c r="M1595" s="390"/>
      <c r="N1595" s="390"/>
    </row>
    <row r="1596" spans="1:14" ht="15.6" hidden="1">
      <c r="A1596" s="241">
        <v>45888</v>
      </c>
      <c r="B1596" s="174" t="s">
        <v>3794</v>
      </c>
      <c r="C1596" s="174" t="s">
        <v>173</v>
      </c>
      <c r="D1596" s="179" t="s">
        <v>442</v>
      </c>
      <c r="E1596" s="174">
        <v>1000</v>
      </c>
      <c r="F1596" s="317">
        <f t="shared" si="15"/>
        <v>1.7827155035636482</v>
      </c>
      <c r="G1596" s="318">
        <v>560.94200000000001</v>
      </c>
      <c r="H1596" s="174" t="s">
        <v>183</v>
      </c>
      <c r="I1596" s="174" t="s">
        <v>2473</v>
      </c>
      <c r="J1596" s="179" t="s">
        <v>97</v>
      </c>
      <c r="K1596" s="127" t="s">
        <v>1903</v>
      </c>
      <c r="L1596" s="179" t="s">
        <v>154</v>
      </c>
      <c r="M1596"/>
      <c r="N1596"/>
    </row>
    <row r="1597" spans="1:14" ht="15.6" hidden="1">
      <c r="A1597" s="241">
        <v>45888</v>
      </c>
      <c r="B1597" s="174" t="s">
        <v>3795</v>
      </c>
      <c r="C1597" s="174" t="s">
        <v>173</v>
      </c>
      <c r="D1597" s="179" t="s">
        <v>442</v>
      </c>
      <c r="E1597" s="174">
        <v>1000</v>
      </c>
      <c r="F1597" s="317">
        <f t="shared" si="15"/>
        <v>1.7827155035636482</v>
      </c>
      <c r="G1597" s="318">
        <v>560.94200000000001</v>
      </c>
      <c r="H1597" s="174" t="s">
        <v>183</v>
      </c>
      <c r="I1597" s="174" t="s">
        <v>2473</v>
      </c>
      <c r="J1597" s="179" t="s">
        <v>97</v>
      </c>
      <c r="K1597" s="127" t="s">
        <v>1903</v>
      </c>
      <c r="L1597" s="179" t="s">
        <v>154</v>
      </c>
      <c r="M1597"/>
      <c r="N1597"/>
    </row>
    <row r="1598" spans="1:14" ht="15.6" hidden="1">
      <c r="A1598" s="241">
        <v>45888</v>
      </c>
      <c r="B1598" s="174" t="s">
        <v>3796</v>
      </c>
      <c r="C1598" s="174" t="s">
        <v>173</v>
      </c>
      <c r="D1598" s="179" t="s">
        <v>442</v>
      </c>
      <c r="E1598" s="174">
        <v>500</v>
      </c>
      <c r="F1598" s="317">
        <f t="shared" si="15"/>
        <v>0.89135775178182408</v>
      </c>
      <c r="G1598" s="318">
        <v>560.94200000000001</v>
      </c>
      <c r="H1598" s="174" t="s">
        <v>183</v>
      </c>
      <c r="I1598" s="174" t="s">
        <v>2473</v>
      </c>
      <c r="J1598" s="179" t="s">
        <v>97</v>
      </c>
      <c r="K1598" s="127" t="s">
        <v>1903</v>
      </c>
      <c r="L1598" s="179" t="s">
        <v>154</v>
      </c>
      <c r="M1598"/>
      <c r="N1598"/>
    </row>
    <row r="1599" spans="1:14" ht="15.6" hidden="1">
      <c r="A1599" s="241">
        <v>45888</v>
      </c>
      <c r="B1599" s="174" t="s">
        <v>3797</v>
      </c>
      <c r="C1599" s="174" t="s">
        <v>173</v>
      </c>
      <c r="D1599" s="179" t="s">
        <v>442</v>
      </c>
      <c r="E1599" s="174">
        <v>1000</v>
      </c>
      <c r="F1599" s="317">
        <f t="shared" si="15"/>
        <v>1.7827155035636482</v>
      </c>
      <c r="G1599" s="318">
        <v>560.94200000000001</v>
      </c>
      <c r="H1599" s="174" t="s">
        <v>183</v>
      </c>
      <c r="I1599" s="174" t="s">
        <v>2473</v>
      </c>
      <c r="J1599" s="179" t="s">
        <v>97</v>
      </c>
      <c r="K1599" s="127" t="s">
        <v>1903</v>
      </c>
      <c r="L1599" s="179" t="s">
        <v>154</v>
      </c>
      <c r="M1599"/>
      <c r="N1599"/>
    </row>
    <row r="1600" spans="1:14" ht="15.6" hidden="1">
      <c r="A1600" s="241">
        <v>45888</v>
      </c>
      <c r="B1600" s="174" t="s">
        <v>3798</v>
      </c>
      <c r="C1600" s="174" t="s">
        <v>173</v>
      </c>
      <c r="D1600" s="179" t="s">
        <v>442</v>
      </c>
      <c r="E1600" s="174">
        <v>1000</v>
      </c>
      <c r="F1600" s="317">
        <f t="shared" si="15"/>
        <v>1.7827155035636482</v>
      </c>
      <c r="G1600" s="318">
        <v>560.94200000000001</v>
      </c>
      <c r="H1600" s="174" t="s">
        <v>183</v>
      </c>
      <c r="I1600" s="174" t="s">
        <v>2473</v>
      </c>
      <c r="J1600" s="179" t="s">
        <v>97</v>
      </c>
      <c r="K1600" s="127" t="s">
        <v>1903</v>
      </c>
      <c r="L1600" s="179" t="s">
        <v>154</v>
      </c>
      <c r="M1600"/>
      <c r="N1600"/>
    </row>
    <row r="1601" spans="1:14" ht="15.6" hidden="1">
      <c r="A1601" s="241">
        <v>45888</v>
      </c>
      <c r="B1601" s="174" t="s">
        <v>3788</v>
      </c>
      <c r="C1601" s="174" t="s">
        <v>173</v>
      </c>
      <c r="D1601" s="179" t="s">
        <v>442</v>
      </c>
      <c r="E1601" s="174">
        <v>500</v>
      </c>
      <c r="F1601" s="317">
        <f t="shared" si="15"/>
        <v>0.89135775178182408</v>
      </c>
      <c r="G1601" s="318">
        <v>560.94200000000001</v>
      </c>
      <c r="H1601" s="174" t="s">
        <v>183</v>
      </c>
      <c r="I1601" s="174" t="s">
        <v>2473</v>
      </c>
      <c r="J1601" s="179" t="s">
        <v>97</v>
      </c>
      <c r="K1601" s="127" t="s">
        <v>1903</v>
      </c>
      <c r="L1601" s="179" t="s">
        <v>154</v>
      </c>
      <c r="M1601"/>
      <c r="N1601"/>
    </row>
    <row r="1602" spans="1:14" ht="15.6" hidden="1">
      <c r="A1602" s="379">
        <v>45888</v>
      </c>
      <c r="B1602" s="179" t="s">
        <v>3903</v>
      </c>
      <c r="C1602" s="179" t="s">
        <v>173</v>
      </c>
      <c r="D1602" s="179" t="s">
        <v>442</v>
      </c>
      <c r="E1602" s="179">
        <v>500</v>
      </c>
      <c r="F1602" s="317">
        <f t="shared" si="15"/>
        <v>0.89135775178182408</v>
      </c>
      <c r="G1602" s="318">
        <v>560.94200000000001</v>
      </c>
      <c r="H1602" s="179" t="s">
        <v>174</v>
      </c>
      <c r="I1602" s="179" t="s">
        <v>2494</v>
      </c>
      <c r="J1602" s="179" t="s">
        <v>97</v>
      </c>
      <c r="K1602" s="127" t="s">
        <v>1903</v>
      </c>
      <c r="L1602" s="179" t="s">
        <v>154</v>
      </c>
      <c r="M1602"/>
      <c r="N1602"/>
    </row>
    <row r="1603" spans="1:14" ht="15.6" hidden="1">
      <c r="A1603" s="379">
        <v>45888</v>
      </c>
      <c r="B1603" s="179" t="s">
        <v>3884</v>
      </c>
      <c r="C1603" s="179" t="s">
        <v>173</v>
      </c>
      <c r="D1603" s="179" t="s">
        <v>442</v>
      </c>
      <c r="E1603" s="179">
        <v>10000</v>
      </c>
      <c r="F1603" s="317">
        <f t="shared" si="15"/>
        <v>17.827155035636483</v>
      </c>
      <c r="G1603" s="318">
        <v>560.94200000000001</v>
      </c>
      <c r="H1603" s="179" t="s">
        <v>174</v>
      </c>
      <c r="I1603" s="179" t="s">
        <v>2502</v>
      </c>
      <c r="J1603" s="179" t="s">
        <v>97</v>
      </c>
      <c r="K1603" s="127" t="s">
        <v>1903</v>
      </c>
      <c r="L1603" s="179" t="s">
        <v>154</v>
      </c>
      <c r="M1603"/>
      <c r="N1603"/>
    </row>
    <row r="1604" spans="1:14" ht="15.6" hidden="1">
      <c r="A1604" s="379">
        <v>45888</v>
      </c>
      <c r="B1604" s="179" t="s">
        <v>3788</v>
      </c>
      <c r="C1604" s="179" t="s">
        <v>173</v>
      </c>
      <c r="D1604" s="179" t="s">
        <v>442</v>
      </c>
      <c r="E1604" s="179">
        <v>500</v>
      </c>
      <c r="F1604" s="317">
        <f t="shared" si="15"/>
        <v>0.89135775178182408</v>
      </c>
      <c r="G1604" s="318">
        <v>560.94200000000001</v>
      </c>
      <c r="H1604" s="179" t="s">
        <v>174</v>
      </c>
      <c r="I1604" s="179" t="s">
        <v>2494</v>
      </c>
      <c r="J1604" s="179" t="s">
        <v>97</v>
      </c>
      <c r="K1604" s="127" t="s">
        <v>1903</v>
      </c>
      <c r="L1604" s="179" t="s">
        <v>154</v>
      </c>
      <c r="M1604"/>
      <c r="N1604"/>
    </row>
    <row r="1605" spans="1:14" ht="15.6" hidden="1">
      <c r="A1605" s="379">
        <v>45888</v>
      </c>
      <c r="B1605" s="179" t="s">
        <v>3904</v>
      </c>
      <c r="C1605" s="179" t="s">
        <v>173</v>
      </c>
      <c r="D1605" s="179" t="s">
        <v>442</v>
      </c>
      <c r="E1605" s="179">
        <v>500</v>
      </c>
      <c r="F1605" s="317">
        <f t="shared" si="15"/>
        <v>0.89135775178182408</v>
      </c>
      <c r="G1605" s="318">
        <v>560.94200000000001</v>
      </c>
      <c r="H1605" s="179" t="s">
        <v>174</v>
      </c>
      <c r="I1605" s="179" t="s">
        <v>2494</v>
      </c>
      <c r="J1605" s="179" t="s">
        <v>97</v>
      </c>
      <c r="K1605" s="127" t="s">
        <v>1903</v>
      </c>
      <c r="L1605" s="179" t="s">
        <v>154</v>
      </c>
      <c r="M1605"/>
      <c r="N1605"/>
    </row>
    <row r="1606" spans="1:14" ht="15.6" hidden="1">
      <c r="A1606" s="379">
        <v>45888</v>
      </c>
      <c r="B1606" s="179" t="s">
        <v>3905</v>
      </c>
      <c r="C1606" s="179" t="s">
        <v>173</v>
      </c>
      <c r="D1606" s="179" t="s">
        <v>442</v>
      </c>
      <c r="E1606" s="179">
        <v>500</v>
      </c>
      <c r="F1606" s="317">
        <f t="shared" si="15"/>
        <v>0.89135775178182408</v>
      </c>
      <c r="G1606" s="318">
        <v>560.94200000000001</v>
      </c>
      <c r="H1606" s="179" t="s">
        <v>174</v>
      </c>
      <c r="I1606" s="179" t="s">
        <v>2494</v>
      </c>
      <c r="J1606" s="179" t="s">
        <v>97</v>
      </c>
      <c r="K1606" s="127" t="s">
        <v>1903</v>
      </c>
      <c r="L1606" s="179" t="s">
        <v>154</v>
      </c>
      <c r="M1606"/>
      <c r="N1606"/>
    </row>
    <row r="1607" spans="1:14" ht="15.6" hidden="1">
      <c r="A1607" s="379">
        <v>45888</v>
      </c>
      <c r="B1607" s="179" t="s">
        <v>3884</v>
      </c>
      <c r="C1607" s="179" t="s">
        <v>173</v>
      </c>
      <c r="D1607" s="179" t="s">
        <v>442</v>
      </c>
      <c r="E1607" s="179">
        <v>10000</v>
      </c>
      <c r="F1607" s="317">
        <f t="shared" si="15"/>
        <v>17.827155035636483</v>
      </c>
      <c r="G1607" s="318">
        <v>560.94200000000001</v>
      </c>
      <c r="H1607" s="179" t="s">
        <v>174</v>
      </c>
      <c r="I1607" s="179" t="s">
        <v>2503</v>
      </c>
      <c r="J1607" s="179" t="s">
        <v>97</v>
      </c>
      <c r="K1607" s="127" t="s">
        <v>1903</v>
      </c>
      <c r="L1607" s="179" t="s">
        <v>154</v>
      </c>
      <c r="M1607"/>
      <c r="N1607"/>
    </row>
    <row r="1608" spans="1:14" ht="15.6" hidden="1">
      <c r="A1608" s="379">
        <v>45888</v>
      </c>
      <c r="B1608" s="179" t="s">
        <v>3902</v>
      </c>
      <c r="C1608" s="179" t="s">
        <v>173</v>
      </c>
      <c r="D1608" s="179" t="s">
        <v>442</v>
      </c>
      <c r="E1608" s="179">
        <v>500</v>
      </c>
      <c r="F1608" s="317">
        <f t="shared" si="15"/>
        <v>0.89135775178182408</v>
      </c>
      <c r="G1608" s="318">
        <v>560.94200000000001</v>
      </c>
      <c r="H1608" s="179" t="s">
        <v>174</v>
      </c>
      <c r="I1608" s="179" t="s">
        <v>2494</v>
      </c>
      <c r="J1608" s="179" t="s">
        <v>97</v>
      </c>
      <c r="K1608" s="127" t="s">
        <v>1903</v>
      </c>
      <c r="L1608" s="179" t="s">
        <v>154</v>
      </c>
      <c r="M1608"/>
      <c r="N1608"/>
    </row>
    <row r="1609" spans="1:14" ht="15.6" hidden="1">
      <c r="A1609" s="376">
        <v>45888</v>
      </c>
      <c r="B1609" s="179" t="s">
        <v>3711</v>
      </c>
      <c r="C1609" s="179" t="s">
        <v>176</v>
      </c>
      <c r="D1609" s="179" t="s">
        <v>442</v>
      </c>
      <c r="E1609" s="179">
        <v>50000</v>
      </c>
      <c r="F1609" s="317">
        <f t="shared" si="15"/>
        <v>89.135775178182413</v>
      </c>
      <c r="G1609" s="318">
        <v>560.94200000000001</v>
      </c>
      <c r="H1609" s="179" t="s">
        <v>316</v>
      </c>
      <c r="I1609" s="179" t="s">
        <v>2526</v>
      </c>
      <c r="J1609" s="179" t="s">
        <v>97</v>
      </c>
      <c r="K1609" s="127" t="s">
        <v>1903</v>
      </c>
      <c r="L1609" s="179" t="s">
        <v>154</v>
      </c>
      <c r="M1609"/>
      <c r="N1609"/>
    </row>
    <row r="1610" spans="1:14" ht="15.6" hidden="1">
      <c r="A1610" s="376">
        <v>45888</v>
      </c>
      <c r="B1610" s="179" t="s">
        <v>3712</v>
      </c>
      <c r="C1610" s="179" t="s">
        <v>173</v>
      </c>
      <c r="D1610" s="179" t="s">
        <v>442</v>
      </c>
      <c r="E1610" s="179">
        <v>2000</v>
      </c>
      <c r="F1610" s="317">
        <f t="shared" si="15"/>
        <v>3.5654310071272963</v>
      </c>
      <c r="G1610" s="318">
        <v>560.94200000000001</v>
      </c>
      <c r="H1610" s="179" t="s">
        <v>316</v>
      </c>
      <c r="I1610" s="179" t="s">
        <v>2523</v>
      </c>
      <c r="J1610" s="179" t="s">
        <v>97</v>
      </c>
      <c r="K1610" s="127" t="s">
        <v>1903</v>
      </c>
      <c r="L1610" s="179" t="s">
        <v>154</v>
      </c>
      <c r="M1610"/>
      <c r="N1610"/>
    </row>
    <row r="1611" spans="1:14" ht="15.6" hidden="1">
      <c r="A1611" s="376">
        <v>45888</v>
      </c>
      <c r="B1611" s="179" t="s">
        <v>3713</v>
      </c>
      <c r="C1611" s="179" t="s">
        <v>173</v>
      </c>
      <c r="D1611" s="179" t="s">
        <v>442</v>
      </c>
      <c r="E1611" s="179">
        <v>500</v>
      </c>
      <c r="F1611" s="317">
        <f t="shared" si="15"/>
        <v>0.89135775178182408</v>
      </c>
      <c r="G1611" s="318">
        <v>560.94200000000001</v>
      </c>
      <c r="H1611" s="179" t="s">
        <v>316</v>
      </c>
      <c r="I1611" s="179" t="s">
        <v>2523</v>
      </c>
      <c r="J1611" s="179" t="s">
        <v>97</v>
      </c>
      <c r="K1611" s="127" t="s">
        <v>1903</v>
      </c>
      <c r="L1611" s="179" t="s">
        <v>154</v>
      </c>
      <c r="M1611"/>
      <c r="N1611"/>
    </row>
    <row r="1612" spans="1:14" ht="15.6" hidden="1">
      <c r="A1612" s="376">
        <v>45888</v>
      </c>
      <c r="B1612" s="179" t="s">
        <v>3689</v>
      </c>
      <c r="C1612" s="179" t="s">
        <v>173</v>
      </c>
      <c r="D1612" s="179" t="s">
        <v>442</v>
      </c>
      <c r="E1612" s="179">
        <v>4000</v>
      </c>
      <c r="F1612" s="317">
        <f t="shared" si="15"/>
        <v>7.1308620142545927</v>
      </c>
      <c r="G1612" s="318">
        <v>560.94200000000001</v>
      </c>
      <c r="H1612" s="179" t="s">
        <v>316</v>
      </c>
      <c r="I1612" s="179" t="s">
        <v>2527</v>
      </c>
      <c r="J1612" s="179" t="s">
        <v>97</v>
      </c>
      <c r="K1612" s="127" t="s">
        <v>1903</v>
      </c>
      <c r="L1612" s="179" t="s">
        <v>154</v>
      </c>
      <c r="M1612"/>
      <c r="N1612"/>
    </row>
    <row r="1613" spans="1:14" ht="15.6" hidden="1">
      <c r="A1613" s="376">
        <v>45888</v>
      </c>
      <c r="B1613" s="179" t="s">
        <v>3714</v>
      </c>
      <c r="C1613" s="179" t="s">
        <v>173</v>
      </c>
      <c r="D1613" s="179" t="s">
        <v>442</v>
      </c>
      <c r="E1613" s="179">
        <v>500</v>
      </c>
      <c r="F1613" s="317">
        <f t="shared" si="15"/>
        <v>0.89135775178182408</v>
      </c>
      <c r="G1613" s="318">
        <v>560.94200000000001</v>
      </c>
      <c r="H1613" s="179" t="s">
        <v>316</v>
      </c>
      <c r="I1613" s="179" t="s">
        <v>2523</v>
      </c>
      <c r="J1613" s="179" t="s">
        <v>97</v>
      </c>
      <c r="K1613" s="127" t="s">
        <v>1903</v>
      </c>
      <c r="L1613" s="179" t="s">
        <v>154</v>
      </c>
      <c r="M1613"/>
      <c r="N1613"/>
    </row>
    <row r="1614" spans="1:14" ht="15.6" hidden="1">
      <c r="A1614" s="376">
        <v>45888</v>
      </c>
      <c r="B1614" s="179" t="s">
        <v>3678</v>
      </c>
      <c r="C1614" s="179" t="s">
        <v>2391</v>
      </c>
      <c r="D1614" s="179" t="s">
        <v>442</v>
      </c>
      <c r="E1614" s="369">
        <v>50000</v>
      </c>
      <c r="F1614" s="317">
        <f t="shared" si="15"/>
        <v>89.135775178182413</v>
      </c>
      <c r="G1614" s="318">
        <v>560.94200000000001</v>
      </c>
      <c r="H1614" s="179" t="s">
        <v>322</v>
      </c>
      <c r="I1614" s="179" t="s">
        <v>2576</v>
      </c>
      <c r="J1614" s="179" t="s">
        <v>97</v>
      </c>
      <c r="K1614" s="127" t="s">
        <v>1903</v>
      </c>
      <c r="L1614" s="179" t="s">
        <v>154</v>
      </c>
      <c r="M1614"/>
      <c r="N1614"/>
    </row>
    <row r="1615" spans="1:14" ht="15.6" hidden="1">
      <c r="A1615" s="376">
        <v>45888</v>
      </c>
      <c r="B1615" s="179" t="s">
        <v>2548</v>
      </c>
      <c r="C1615" s="179" t="s">
        <v>173</v>
      </c>
      <c r="D1615" s="179" t="s">
        <v>442</v>
      </c>
      <c r="E1615" s="369">
        <v>1000</v>
      </c>
      <c r="F1615" s="317">
        <f t="shared" si="15"/>
        <v>1.7827155035636482</v>
      </c>
      <c r="G1615" s="318">
        <v>560.94200000000001</v>
      </c>
      <c r="H1615" s="179" t="s">
        <v>322</v>
      </c>
      <c r="I1615" s="179" t="s">
        <v>2572</v>
      </c>
      <c r="J1615" s="179" t="s">
        <v>97</v>
      </c>
      <c r="K1615" s="127" t="s">
        <v>1903</v>
      </c>
      <c r="L1615" s="179" t="s">
        <v>154</v>
      </c>
      <c r="M1615"/>
      <c r="N1615"/>
    </row>
    <row r="1616" spans="1:14" ht="15.6" hidden="1">
      <c r="A1616" s="376">
        <v>45888</v>
      </c>
      <c r="B1616" s="179" t="s">
        <v>2549</v>
      </c>
      <c r="C1616" s="179" t="s">
        <v>173</v>
      </c>
      <c r="D1616" s="179" t="s">
        <v>442</v>
      </c>
      <c r="E1616" s="369">
        <v>1000</v>
      </c>
      <c r="F1616" s="317">
        <f t="shared" si="15"/>
        <v>1.7827155035636482</v>
      </c>
      <c r="G1616" s="318">
        <v>560.94200000000001</v>
      </c>
      <c r="H1616" s="179" t="s">
        <v>322</v>
      </c>
      <c r="I1616" s="179" t="s">
        <v>2572</v>
      </c>
      <c r="J1616" s="179" t="s">
        <v>97</v>
      </c>
      <c r="K1616" s="127" t="s">
        <v>1903</v>
      </c>
      <c r="L1616" s="179" t="s">
        <v>154</v>
      </c>
      <c r="M1616"/>
      <c r="N1616"/>
    </row>
    <row r="1617" spans="1:14" ht="15.6" hidden="1">
      <c r="A1617" s="379">
        <v>45888</v>
      </c>
      <c r="B1617" s="179" t="s">
        <v>2616</v>
      </c>
      <c r="C1617" s="179" t="s">
        <v>173</v>
      </c>
      <c r="D1617" s="179" t="s">
        <v>116</v>
      </c>
      <c r="E1617" s="332">
        <v>1000</v>
      </c>
      <c r="F1617" s="317">
        <f t="shared" si="15"/>
        <v>1.7827155035636482</v>
      </c>
      <c r="G1617" s="318">
        <v>560.94200000000001</v>
      </c>
      <c r="H1617" s="179" t="s">
        <v>192</v>
      </c>
      <c r="I1617" s="179" t="s">
        <v>2647</v>
      </c>
      <c r="J1617" s="179" t="s">
        <v>97</v>
      </c>
      <c r="K1617" s="127" t="s">
        <v>1903</v>
      </c>
      <c r="L1617" s="179" t="s">
        <v>154</v>
      </c>
      <c r="M1617"/>
      <c r="N1617"/>
    </row>
    <row r="1618" spans="1:14" ht="15.6" hidden="1">
      <c r="A1618" s="379">
        <v>45888</v>
      </c>
      <c r="B1618" s="179" t="s">
        <v>2617</v>
      </c>
      <c r="C1618" s="179" t="s">
        <v>173</v>
      </c>
      <c r="D1618" s="179" t="s">
        <v>116</v>
      </c>
      <c r="E1618" s="332">
        <v>4000</v>
      </c>
      <c r="F1618" s="317">
        <f t="shared" si="15"/>
        <v>7.1308620142545927</v>
      </c>
      <c r="G1618" s="318">
        <v>560.94200000000001</v>
      </c>
      <c r="H1618" s="179" t="s">
        <v>192</v>
      </c>
      <c r="I1618" s="179" t="s">
        <v>2650</v>
      </c>
      <c r="J1618" s="179" t="s">
        <v>97</v>
      </c>
      <c r="K1618" s="127" t="s">
        <v>1903</v>
      </c>
      <c r="L1618" s="179" t="s">
        <v>154</v>
      </c>
      <c r="M1618"/>
      <c r="N1618"/>
    </row>
    <row r="1619" spans="1:14" ht="15.6" hidden="1">
      <c r="A1619" s="379">
        <v>45888</v>
      </c>
      <c r="B1619" s="179" t="s">
        <v>2618</v>
      </c>
      <c r="C1619" s="179" t="s">
        <v>173</v>
      </c>
      <c r="D1619" s="179" t="s">
        <v>116</v>
      </c>
      <c r="E1619" s="332">
        <v>500</v>
      </c>
      <c r="F1619" s="317">
        <f t="shared" si="15"/>
        <v>0.89135775178182408</v>
      </c>
      <c r="G1619" s="318">
        <v>560.94200000000001</v>
      </c>
      <c r="H1619" s="179" t="s">
        <v>192</v>
      </c>
      <c r="I1619" s="179" t="s">
        <v>2647</v>
      </c>
      <c r="J1619" s="179" t="s">
        <v>97</v>
      </c>
      <c r="K1619" s="127" t="s">
        <v>1903</v>
      </c>
      <c r="L1619" s="179" t="s">
        <v>154</v>
      </c>
      <c r="M1619"/>
      <c r="N1619"/>
    </row>
    <row r="1620" spans="1:14" ht="15.6" hidden="1">
      <c r="A1620" s="379">
        <v>45888</v>
      </c>
      <c r="B1620" s="179" t="s">
        <v>2619</v>
      </c>
      <c r="C1620" s="179" t="s">
        <v>173</v>
      </c>
      <c r="D1620" s="179" t="s">
        <v>116</v>
      </c>
      <c r="E1620" s="332">
        <v>300</v>
      </c>
      <c r="F1620" s="317">
        <f t="shared" si="15"/>
        <v>0.53481465106909443</v>
      </c>
      <c r="G1620" s="318">
        <v>560.94200000000001</v>
      </c>
      <c r="H1620" s="179" t="s">
        <v>192</v>
      </c>
      <c r="I1620" s="179" t="s">
        <v>2647</v>
      </c>
      <c r="J1620" s="179" t="s">
        <v>97</v>
      </c>
      <c r="K1620" s="127" t="s">
        <v>1903</v>
      </c>
      <c r="L1620" s="179" t="s">
        <v>154</v>
      </c>
      <c r="M1620"/>
      <c r="N1620"/>
    </row>
    <row r="1621" spans="1:14" ht="15.6" hidden="1">
      <c r="A1621" s="379">
        <v>45888</v>
      </c>
      <c r="B1621" s="179" t="s">
        <v>2620</v>
      </c>
      <c r="C1621" s="179" t="s">
        <v>312</v>
      </c>
      <c r="D1621" s="179" t="s">
        <v>116</v>
      </c>
      <c r="E1621" s="332">
        <v>1500</v>
      </c>
      <c r="F1621" s="317">
        <f t="shared" si="15"/>
        <v>2.6740732553454722</v>
      </c>
      <c r="G1621" s="318">
        <v>560.94200000000001</v>
      </c>
      <c r="H1621" s="179" t="s">
        <v>192</v>
      </c>
      <c r="I1621" s="179" t="s">
        <v>2651</v>
      </c>
      <c r="J1621" s="179" t="s">
        <v>97</v>
      </c>
      <c r="K1621" s="127" t="s">
        <v>1903</v>
      </c>
      <c r="L1621" s="179" t="s">
        <v>154</v>
      </c>
      <c r="M1621"/>
      <c r="N1621"/>
    </row>
    <row r="1622" spans="1:14" ht="15.6" hidden="1">
      <c r="A1622" s="379">
        <v>45888</v>
      </c>
      <c r="B1622" s="179" t="s">
        <v>2621</v>
      </c>
      <c r="C1622" s="179" t="s">
        <v>173</v>
      </c>
      <c r="D1622" s="179" t="s">
        <v>116</v>
      </c>
      <c r="E1622" s="332">
        <v>300</v>
      </c>
      <c r="F1622" s="317">
        <f t="shared" si="15"/>
        <v>0.53481465106909443</v>
      </c>
      <c r="G1622" s="318">
        <v>560.94200000000001</v>
      </c>
      <c r="H1622" s="179" t="s">
        <v>192</v>
      </c>
      <c r="I1622" s="179" t="s">
        <v>2647</v>
      </c>
      <c r="J1622" s="179" t="s">
        <v>97</v>
      </c>
      <c r="K1622" s="127" t="s">
        <v>1903</v>
      </c>
      <c r="L1622" s="179" t="s">
        <v>154</v>
      </c>
      <c r="M1622"/>
      <c r="N1622"/>
    </row>
    <row r="1623" spans="1:14" ht="15.6" hidden="1">
      <c r="A1623" s="379">
        <v>45888</v>
      </c>
      <c r="B1623" s="179" t="s">
        <v>2622</v>
      </c>
      <c r="C1623" s="179" t="s">
        <v>173</v>
      </c>
      <c r="D1623" s="179" t="s">
        <v>116</v>
      </c>
      <c r="E1623" s="332">
        <v>300</v>
      </c>
      <c r="F1623" s="317">
        <f t="shared" si="15"/>
        <v>0.53481465106909443</v>
      </c>
      <c r="G1623" s="318">
        <v>560.94200000000001</v>
      </c>
      <c r="H1623" s="179" t="s">
        <v>192</v>
      </c>
      <c r="I1623" s="179" t="s">
        <v>2647</v>
      </c>
      <c r="J1623" s="179" t="s">
        <v>97</v>
      </c>
      <c r="K1623" s="127" t="s">
        <v>1903</v>
      </c>
      <c r="L1623" s="179" t="s">
        <v>154</v>
      </c>
      <c r="M1623"/>
      <c r="N1623"/>
    </row>
    <row r="1624" spans="1:14" ht="15.6" hidden="1">
      <c r="A1624" s="379">
        <v>45888</v>
      </c>
      <c r="B1624" s="179" t="s">
        <v>2623</v>
      </c>
      <c r="C1624" s="179" t="s">
        <v>176</v>
      </c>
      <c r="D1624" s="179" t="s">
        <v>116</v>
      </c>
      <c r="E1624" s="332">
        <v>20000</v>
      </c>
      <c r="F1624" s="317">
        <f t="shared" si="15"/>
        <v>35.654310071272967</v>
      </c>
      <c r="G1624" s="318">
        <v>560.94200000000001</v>
      </c>
      <c r="H1624" s="179" t="s">
        <v>192</v>
      </c>
      <c r="I1624" s="179" t="s">
        <v>2652</v>
      </c>
      <c r="J1624" s="179" t="s">
        <v>97</v>
      </c>
      <c r="K1624" s="127" t="s">
        <v>1903</v>
      </c>
      <c r="L1624" s="179" t="s">
        <v>154</v>
      </c>
      <c r="M1624"/>
      <c r="N1624"/>
    </row>
    <row r="1625" spans="1:14" ht="15.6" hidden="1">
      <c r="A1625" s="376">
        <v>45888</v>
      </c>
      <c r="B1625" s="179" t="s">
        <v>2750</v>
      </c>
      <c r="C1625" s="179" t="s">
        <v>173</v>
      </c>
      <c r="D1625" s="179" t="s">
        <v>116</v>
      </c>
      <c r="E1625" s="179">
        <v>1000</v>
      </c>
      <c r="F1625" s="317">
        <f t="shared" si="15"/>
        <v>1.7827155035636482</v>
      </c>
      <c r="G1625" s="318">
        <v>560.94200000000001</v>
      </c>
      <c r="H1625" s="179" t="s">
        <v>186</v>
      </c>
      <c r="I1625" s="179" t="s">
        <v>2759</v>
      </c>
      <c r="J1625" s="179" t="s">
        <v>97</v>
      </c>
      <c r="K1625" s="127" t="s">
        <v>1903</v>
      </c>
      <c r="L1625" s="179" t="s">
        <v>154</v>
      </c>
      <c r="M1625"/>
      <c r="N1625"/>
    </row>
    <row r="1626" spans="1:14" ht="15.6" hidden="1">
      <c r="A1626" s="376">
        <v>45888</v>
      </c>
      <c r="B1626" s="179" t="s">
        <v>2751</v>
      </c>
      <c r="C1626" s="179" t="s">
        <v>173</v>
      </c>
      <c r="D1626" s="179" t="s">
        <v>116</v>
      </c>
      <c r="E1626" s="179">
        <v>1000</v>
      </c>
      <c r="F1626" s="317">
        <f t="shared" si="15"/>
        <v>1.7827155035636482</v>
      </c>
      <c r="G1626" s="318">
        <v>560.94200000000001</v>
      </c>
      <c r="H1626" s="179" t="s">
        <v>186</v>
      </c>
      <c r="I1626" s="179" t="s">
        <v>2759</v>
      </c>
      <c r="J1626" s="179" t="s">
        <v>97</v>
      </c>
      <c r="K1626" s="127" t="s">
        <v>1903</v>
      </c>
      <c r="L1626" s="179" t="s">
        <v>154</v>
      </c>
      <c r="M1626"/>
      <c r="N1626"/>
    </row>
    <row r="1627" spans="1:14" ht="15.6" hidden="1">
      <c r="A1627" s="376">
        <v>45888</v>
      </c>
      <c r="B1627" s="179" t="s">
        <v>2752</v>
      </c>
      <c r="C1627" s="179" t="s">
        <v>173</v>
      </c>
      <c r="D1627" s="179" t="s">
        <v>116</v>
      </c>
      <c r="E1627" s="179">
        <v>1000</v>
      </c>
      <c r="F1627" s="317">
        <f t="shared" si="15"/>
        <v>1.7827155035636482</v>
      </c>
      <c r="G1627" s="318">
        <v>560.94200000000001</v>
      </c>
      <c r="H1627" s="179" t="s">
        <v>186</v>
      </c>
      <c r="I1627" s="179" t="s">
        <v>2759</v>
      </c>
      <c r="J1627" s="179" t="s">
        <v>97</v>
      </c>
      <c r="K1627" s="127" t="s">
        <v>1903</v>
      </c>
      <c r="L1627" s="179" t="s">
        <v>154</v>
      </c>
      <c r="M1627"/>
      <c r="N1627"/>
    </row>
    <row r="1628" spans="1:14" ht="15.6" hidden="1">
      <c r="A1628" s="376">
        <v>45888</v>
      </c>
      <c r="B1628" s="179" t="s">
        <v>2588</v>
      </c>
      <c r="C1628" s="179" t="s">
        <v>173</v>
      </c>
      <c r="D1628" s="179" t="s">
        <v>116</v>
      </c>
      <c r="E1628" s="332">
        <v>9000</v>
      </c>
      <c r="F1628" s="317">
        <f t="shared" si="15"/>
        <v>16.044439532072836</v>
      </c>
      <c r="G1628" s="318">
        <v>560.94200000000001</v>
      </c>
      <c r="H1628" s="179" t="s">
        <v>189</v>
      </c>
      <c r="I1628" s="179" t="s">
        <v>2607</v>
      </c>
      <c r="J1628" s="179" t="s">
        <v>97</v>
      </c>
      <c r="K1628" s="127" t="s">
        <v>1903</v>
      </c>
      <c r="L1628" s="179" t="s">
        <v>154</v>
      </c>
      <c r="M1628"/>
      <c r="N1628"/>
    </row>
    <row r="1629" spans="1:14" ht="15.6" hidden="1">
      <c r="A1629" s="372">
        <v>45889</v>
      </c>
      <c r="B1629" s="396" t="s">
        <v>2100</v>
      </c>
      <c r="C1629" s="303" t="s">
        <v>173</v>
      </c>
      <c r="D1629" s="303" t="s">
        <v>118</v>
      </c>
      <c r="E1629" s="396">
        <v>1000</v>
      </c>
      <c r="F1629" s="317">
        <f t="shared" si="15"/>
        <v>1.7827155035636482</v>
      </c>
      <c r="G1629" s="318">
        <v>560.94200000000001</v>
      </c>
      <c r="H1629" s="403" t="s">
        <v>152</v>
      </c>
      <c r="I1629" s="404" t="s">
        <v>2425</v>
      </c>
      <c r="J1629" s="179" t="s">
        <v>97</v>
      </c>
      <c r="K1629" s="127" t="s">
        <v>1903</v>
      </c>
      <c r="L1629" s="179" t="s">
        <v>154</v>
      </c>
      <c r="M1629" s="390"/>
      <c r="N1629" s="390"/>
    </row>
    <row r="1630" spans="1:14" ht="15.6" hidden="1">
      <c r="A1630" s="372">
        <v>45889</v>
      </c>
      <c r="B1630" s="396" t="s">
        <v>2101</v>
      </c>
      <c r="C1630" s="303" t="s">
        <v>173</v>
      </c>
      <c r="D1630" s="303" t="s">
        <v>118</v>
      </c>
      <c r="E1630" s="396">
        <v>1000</v>
      </c>
      <c r="F1630" s="317">
        <f t="shared" si="15"/>
        <v>1.7827155035636482</v>
      </c>
      <c r="G1630" s="318">
        <v>560.94200000000001</v>
      </c>
      <c r="H1630" s="403" t="s">
        <v>152</v>
      </c>
      <c r="I1630" s="404" t="s">
        <v>2425</v>
      </c>
      <c r="J1630" s="179" t="s">
        <v>97</v>
      </c>
      <c r="K1630" s="127" t="s">
        <v>1903</v>
      </c>
      <c r="L1630" s="179" t="s">
        <v>154</v>
      </c>
      <c r="M1630" s="390"/>
      <c r="N1630" s="390"/>
    </row>
    <row r="1631" spans="1:14" ht="15.6" hidden="1">
      <c r="A1631" s="378">
        <v>45889</v>
      </c>
      <c r="B1631" s="179" t="s">
        <v>2451</v>
      </c>
      <c r="C1631" s="179" t="s">
        <v>173</v>
      </c>
      <c r="D1631" s="179" t="s">
        <v>117</v>
      </c>
      <c r="E1631" s="332">
        <v>500</v>
      </c>
      <c r="F1631" s="317">
        <f t="shared" si="15"/>
        <v>0.89135775178182408</v>
      </c>
      <c r="G1631" s="318">
        <v>560.94200000000001</v>
      </c>
      <c r="H1631" s="179" t="s">
        <v>583</v>
      </c>
      <c r="I1631" s="179" t="s">
        <v>2464</v>
      </c>
      <c r="J1631" s="179" t="s">
        <v>97</v>
      </c>
      <c r="K1631" s="127" t="s">
        <v>1903</v>
      </c>
      <c r="L1631" s="179" t="s">
        <v>154</v>
      </c>
      <c r="M1631" s="390"/>
      <c r="N1631" s="390"/>
    </row>
    <row r="1632" spans="1:14" ht="15.6" hidden="1">
      <c r="A1632" s="378">
        <v>45889</v>
      </c>
      <c r="B1632" s="179" t="s">
        <v>2452</v>
      </c>
      <c r="C1632" s="179" t="s">
        <v>173</v>
      </c>
      <c r="D1632" s="179" t="s">
        <v>117</v>
      </c>
      <c r="E1632" s="332">
        <v>500</v>
      </c>
      <c r="F1632" s="317">
        <f t="shared" si="15"/>
        <v>0.89135775178182408</v>
      </c>
      <c r="G1632" s="318">
        <v>560.94200000000001</v>
      </c>
      <c r="H1632" s="179" t="s">
        <v>583</v>
      </c>
      <c r="I1632" s="179" t="s">
        <v>2464</v>
      </c>
      <c r="J1632" s="179" t="s">
        <v>97</v>
      </c>
      <c r="K1632" s="127" t="s">
        <v>1903</v>
      </c>
      <c r="L1632" s="179" t="s">
        <v>154</v>
      </c>
      <c r="M1632" s="390"/>
      <c r="N1632" s="390"/>
    </row>
    <row r="1633" spans="1:14" ht="15.6" hidden="1">
      <c r="A1633" s="381">
        <v>45889</v>
      </c>
      <c r="B1633" s="179" t="s">
        <v>2348</v>
      </c>
      <c r="C1633" s="179" t="s">
        <v>181</v>
      </c>
      <c r="D1633" s="179" t="s">
        <v>117</v>
      </c>
      <c r="E1633" s="332">
        <v>3180</v>
      </c>
      <c r="F1633" s="317">
        <f t="shared" si="15"/>
        <v>5.6690353013324017</v>
      </c>
      <c r="G1633" s="318">
        <v>560.94200000000001</v>
      </c>
      <c r="H1633" s="179" t="s">
        <v>583</v>
      </c>
      <c r="I1633" s="179" t="s">
        <v>2349</v>
      </c>
      <c r="J1633" s="179" t="s">
        <v>97</v>
      </c>
      <c r="K1633" s="127" t="s">
        <v>1903</v>
      </c>
      <c r="L1633" s="179" t="s">
        <v>154</v>
      </c>
      <c r="M1633" s="390"/>
      <c r="N1633" s="390"/>
    </row>
    <row r="1634" spans="1:14" ht="15.6" hidden="1">
      <c r="A1634" s="241">
        <v>45889</v>
      </c>
      <c r="B1634" s="174" t="s">
        <v>3799</v>
      </c>
      <c r="C1634" s="174" t="s">
        <v>173</v>
      </c>
      <c r="D1634" s="179" t="s">
        <v>442</v>
      </c>
      <c r="E1634" s="174">
        <v>1000</v>
      </c>
      <c r="F1634" s="317">
        <f t="shared" si="15"/>
        <v>1.7827155035636482</v>
      </c>
      <c r="G1634" s="318">
        <v>560.94200000000001</v>
      </c>
      <c r="H1634" s="174" t="s">
        <v>183</v>
      </c>
      <c r="I1634" s="174" t="s">
        <v>2473</v>
      </c>
      <c r="J1634" s="179" t="s">
        <v>97</v>
      </c>
      <c r="K1634" s="127" t="s">
        <v>1903</v>
      </c>
      <c r="L1634" s="179" t="s">
        <v>154</v>
      </c>
      <c r="M1634"/>
      <c r="N1634"/>
    </row>
    <row r="1635" spans="1:14" ht="15.6" hidden="1">
      <c r="A1635" s="241">
        <v>45889</v>
      </c>
      <c r="B1635" s="174" t="s">
        <v>3787</v>
      </c>
      <c r="C1635" s="174" t="s">
        <v>173</v>
      </c>
      <c r="D1635" s="179" t="s">
        <v>442</v>
      </c>
      <c r="E1635" s="174">
        <v>1000</v>
      </c>
      <c r="F1635" s="317">
        <f t="shared" si="15"/>
        <v>1.7827155035636482</v>
      </c>
      <c r="G1635" s="318">
        <v>560.94200000000001</v>
      </c>
      <c r="H1635" s="174" t="s">
        <v>183</v>
      </c>
      <c r="I1635" s="174" t="s">
        <v>2473</v>
      </c>
      <c r="J1635" s="179" t="s">
        <v>97</v>
      </c>
      <c r="K1635" s="127" t="s">
        <v>1903</v>
      </c>
      <c r="L1635" s="179" t="s">
        <v>154</v>
      </c>
      <c r="M1635"/>
      <c r="N1635"/>
    </row>
    <row r="1636" spans="1:14" ht="15.6" hidden="1">
      <c r="A1636" s="241">
        <v>45889</v>
      </c>
      <c r="B1636" s="174" t="s">
        <v>3800</v>
      </c>
      <c r="C1636" s="174" t="s">
        <v>173</v>
      </c>
      <c r="D1636" s="179" t="s">
        <v>442</v>
      </c>
      <c r="E1636" s="174">
        <v>1000</v>
      </c>
      <c r="F1636" s="317">
        <f t="shared" si="15"/>
        <v>1.7827155035636482</v>
      </c>
      <c r="G1636" s="318">
        <v>560.94200000000001</v>
      </c>
      <c r="H1636" s="174" t="s">
        <v>183</v>
      </c>
      <c r="I1636" s="174" t="s">
        <v>2473</v>
      </c>
      <c r="J1636" s="179" t="s">
        <v>97</v>
      </c>
      <c r="K1636" s="127" t="s">
        <v>1903</v>
      </c>
      <c r="L1636" s="179" t="s">
        <v>154</v>
      </c>
      <c r="M1636"/>
      <c r="N1636"/>
    </row>
    <row r="1637" spans="1:14" ht="15.6" hidden="1">
      <c r="A1637" s="241">
        <v>45889</v>
      </c>
      <c r="B1637" s="174" t="s">
        <v>3787</v>
      </c>
      <c r="C1637" s="174" t="s">
        <v>173</v>
      </c>
      <c r="D1637" s="179" t="s">
        <v>442</v>
      </c>
      <c r="E1637" s="174">
        <v>1000</v>
      </c>
      <c r="F1637" s="317">
        <f t="shared" si="15"/>
        <v>1.7827155035636482</v>
      </c>
      <c r="G1637" s="318">
        <v>560.94200000000001</v>
      </c>
      <c r="H1637" s="174" t="s">
        <v>183</v>
      </c>
      <c r="I1637" s="174" t="s">
        <v>2473</v>
      </c>
      <c r="J1637" s="179" t="s">
        <v>97</v>
      </c>
      <c r="K1637" s="127" t="s">
        <v>1903</v>
      </c>
      <c r="L1637" s="179" t="s">
        <v>154</v>
      </c>
      <c r="M1637"/>
      <c r="N1637"/>
    </row>
    <row r="1638" spans="1:14" ht="15.6" hidden="1">
      <c r="A1638" s="379">
        <v>45889</v>
      </c>
      <c r="B1638" s="179" t="s">
        <v>3788</v>
      </c>
      <c r="C1638" s="179" t="s">
        <v>173</v>
      </c>
      <c r="D1638" s="179" t="s">
        <v>442</v>
      </c>
      <c r="E1638" s="179">
        <v>500</v>
      </c>
      <c r="F1638" s="317">
        <f t="shared" si="15"/>
        <v>0.89135775178182408</v>
      </c>
      <c r="G1638" s="318">
        <v>560.94200000000001</v>
      </c>
      <c r="H1638" s="179" t="s">
        <v>174</v>
      </c>
      <c r="I1638" s="179" t="s">
        <v>2494</v>
      </c>
      <c r="J1638" s="179" t="s">
        <v>97</v>
      </c>
      <c r="K1638" s="127" t="s">
        <v>1903</v>
      </c>
      <c r="L1638" s="179" t="s">
        <v>154</v>
      </c>
      <c r="M1638"/>
      <c r="N1638"/>
    </row>
    <row r="1639" spans="1:14" ht="15.6" hidden="1">
      <c r="A1639" s="379">
        <v>45889</v>
      </c>
      <c r="B1639" s="179" t="s">
        <v>3902</v>
      </c>
      <c r="C1639" s="179" t="s">
        <v>173</v>
      </c>
      <c r="D1639" s="179" t="s">
        <v>442</v>
      </c>
      <c r="E1639" s="179">
        <v>500</v>
      </c>
      <c r="F1639" s="317">
        <f t="shared" si="15"/>
        <v>0.89135775178182408</v>
      </c>
      <c r="G1639" s="318">
        <v>560.94200000000001</v>
      </c>
      <c r="H1639" s="179" t="s">
        <v>174</v>
      </c>
      <c r="I1639" s="179" t="s">
        <v>2494</v>
      </c>
      <c r="J1639" s="179" t="s">
        <v>97</v>
      </c>
      <c r="K1639" s="127" t="s">
        <v>1903</v>
      </c>
      <c r="L1639" s="179" t="s">
        <v>154</v>
      </c>
      <c r="M1639"/>
      <c r="N1639"/>
    </row>
    <row r="1640" spans="1:14" ht="15.6" hidden="1">
      <c r="A1640" s="376">
        <v>45889</v>
      </c>
      <c r="B1640" s="179" t="s">
        <v>3715</v>
      </c>
      <c r="C1640" s="179" t="s">
        <v>173</v>
      </c>
      <c r="D1640" s="179" t="s">
        <v>442</v>
      </c>
      <c r="E1640" s="179">
        <v>500</v>
      </c>
      <c r="F1640" s="317">
        <f t="shared" si="15"/>
        <v>0.89135775178182408</v>
      </c>
      <c r="G1640" s="318">
        <v>560.94200000000001</v>
      </c>
      <c r="H1640" s="179" t="s">
        <v>316</v>
      </c>
      <c r="I1640" s="179" t="s">
        <v>2523</v>
      </c>
      <c r="J1640" s="179" t="s">
        <v>97</v>
      </c>
      <c r="K1640" s="127" t="s">
        <v>1903</v>
      </c>
      <c r="L1640" s="179" t="s">
        <v>154</v>
      </c>
      <c r="M1640"/>
      <c r="N1640"/>
    </row>
    <row r="1641" spans="1:14" ht="15.6" hidden="1">
      <c r="A1641" s="376">
        <v>45889</v>
      </c>
      <c r="B1641" s="179" t="s">
        <v>2516</v>
      </c>
      <c r="C1641" s="179" t="s">
        <v>365</v>
      </c>
      <c r="D1641" s="179" t="s">
        <v>442</v>
      </c>
      <c r="E1641" s="179">
        <v>1500</v>
      </c>
      <c r="F1641" s="317">
        <f t="shared" si="15"/>
        <v>2.6740732553454722</v>
      </c>
      <c r="G1641" s="318">
        <v>560.94200000000001</v>
      </c>
      <c r="H1641" s="179" t="s">
        <v>316</v>
      </c>
      <c r="I1641" s="179" t="s">
        <v>2528</v>
      </c>
      <c r="J1641" s="179" t="s">
        <v>97</v>
      </c>
      <c r="K1641" s="127" t="s">
        <v>1903</v>
      </c>
      <c r="L1641" s="179" t="s">
        <v>154</v>
      </c>
      <c r="M1641"/>
      <c r="N1641"/>
    </row>
    <row r="1642" spans="1:14" ht="15.6" hidden="1">
      <c r="A1642" s="376">
        <v>45889</v>
      </c>
      <c r="B1642" s="179" t="s">
        <v>3716</v>
      </c>
      <c r="C1642" s="179" t="s">
        <v>173</v>
      </c>
      <c r="D1642" s="179" t="s">
        <v>442</v>
      </c>
      <c r="E1642" s="179">
        <v>500</v>
      </c>
      <c r="F1642" s="317">
        <f t="shared" si="15"/>
        <v>0.89135775178182408</v>
      </c>
      <c r="G1642" s="318">
        <v>560.94200000000001</v>
      </c>
      <c r="H1642" s="179" t="s">
        <v>316</v>
      </c>
      <c r="I1642" s="179" t="s">
        <v>2523</v>
      </c>
      <c r="J1642" s="179" t="s">
        <v>97</v>
      </c>
      <c r="K1642" s="127" t="s">
        <v>1903</v>
      </c>
      <c r="L1642" s="179" t="s">
        <v>154</v>
      </c>
      <c r="M1642"/>
      <c r="N1642"/>
    </row>
    <row r="1643" spans="1:14" ht="15.6" hidden="1">
      <c r="A1643" s="376">
        <v>45889</v>
      </c>
      <c r="B1643" s="179" t="s">
        <v>2517</v>
      </c>
      <c r="C1643" s="179" t="s">
        <v>173</v>
      </c>
      <c r="D1643" s="179" t="s">
        <v>442</v>
      </c>
      <c r="E1643" s="179">
        <v>500</v>
      </c>
      <c r="F1643" s="317">
        <f t="shared" ref="F1643:F1706" si="16">E1643/G1643</f>
        <v>0.89135775178182408</v>
      </c>
      <c r="G1643" s="318">
        <v>560.94200000000001</v>
      </c>
      <c r="H1643" s="179" t="s">
        <v>316</v>
      </c>
      <c r="I1643" s="179" t="s">
        <v>2523</v>
      </c>
      <c r="J1643" s="179" t="s">
        <v>97</v>
      </c>
      <c r="K1643" s="127" t="s">
        <v>1903</v>
      </c>
      <c r="L1643" s="179" t="s">
        <v>154</v>
      </c>
      <c r="M1643"/>
      <c r="N1643"/>
    </row>
    <row r="1644" spans="1:14" ht="15.6" hidden="1">
      <c r="A1644" s="376">
        <v>45889</v>
      </c>
      <c r="B1644" s="179" t="s">
        <v>3717</v>
      </c>
      <c r="C1644" s="179" t="s">
        <v>173</v>
      </c>
      <c r="D1644" s="179" t="s">
        <v>442</v>
      </c>
      <c r="E1644" s="179">
        <v>500</v>
      </c>
      <c r="F1644" s="317">
        <f t="shared" si="16"/>
        <v>0.89135775178182408</v>
      </c>
      <c r="G1644" s="318">
        <v>560.94200000000001</v>
      </c>
      <c r="H1644" s="179" t="s">
        <v>316</v>
      </c>
      <c r="I1644" s="179" t="s">
        <v>2523</v>
      </c>
      <c r="J1644" s="179" t="s">
        <v>97</v>
      </c>
      <c r="K1644" s="127" t="s">
        <v>1903</v>
      </c>
      <c r="L1644" s="179" t="s">
        <v>154</v>
      </c>
      <c r="M1644"/>
      <c r="N1644"/>
    </row>
    <row r="1645" spans="1:14" ht="15.6" hidden="1">
      <c r="A1645" s="376">
        <v>45889</v>
      </c>
      <c r="B1645" s="179" t="s">
        <v>2518</v>
      </c>
      <c r="C1645" s="179" t="s">
        <v>173</v>
      </c>
      <c r="D1645" s="179" t="s">
        <v>442</v>
      </c>
      <c r="E1645" s="179">
        <v>500</v>
      </c>
      <c r="F1645" s="317">
        <f t="shared" si="16"/>
        <v>0.89135775178182408</v>
      </c>
      <c r="G1645" s="318">
        <v>560.94200000000001</v>
      </c>
      <c r="H1645" s="179" t="s">
        <v>316</v>
      </c>
      <c r="I1645" s="179" t="s">
        <v>2523</v>
      </c>
      <c r="J1645" s="179" t="s">
        <v>97</v>
      </c>
      <c r="K1645" s="127" t="s">
        <v>1903</v>
      </c>
      <c r="L1645" s="179" t="s">
        <v>154</v>
      </c>
      <c r="M1645"/>
      <c r="N1645"/>
    </row>
    <row r="1646" spans="1:14" ht="15.6" hidden="1">
      <c r="A1646" s="376">
        <v>45889</v>
      </c>
      <c r="B1646" s="179" t="s">
        <v>3679</v>
      </c>
      <c r="C1646" s="179" t="s">
        <v>173</v>
      </c>
      <c r="D1646" s="179" t="s">
        <v>442</v>
      </c>
      <c r="E1646" s="369">
        <v>1000</v>
      </c>
      <c r="F1646" s="317">
        <f t="shared" si="16"/>
        <v>1.7827155035636482</v>
      </c>
      <c r="G1646" s="318">
        <v>560.94200000000001</v>
      </c>
      <c r="H1646" s="179" t="s">
        <v>322</v>
      </c>
      <c r="I1646" s="179" t="s">
        <v>2572</v>
      </c>
      <c r="J1646" s="179" t="s">
        <v>97</v>
      </c>
      <c r="K1646" s="127" t="s">
        <v>1903</v>
      </c>
      <c r="L1646" s="179" t="s">
        <v>154</v>
      </c>
      <c r="M1646"/>
      <c r="N1646"/>
    </row>
    <row r="1647" spans="1:14" ht="15.6" hidden="1">
      <c r="A1647" s="376">
        <v>45889</v>
      </c>
      <c r="B1647" s="179" t="s">
        <v>3680</v>
      </c>
      <c r="C1647" s="179" t="s">
        <v>173</v>
      </c>
      <c r="D1647" s="179" t="s">
        <v>442</v>
      </c>
      <c r="E1647" s="369">
        <v>1000</v>
      </c>
      <c r="F1647" s="317">
        <f t="shared" si="16"/>
        <v>1.7827155035636482</v>
      </c>
      <c r="G1647" s="318">
        <v>560.94200000000001</v>
      </c>
      <c r="H1647" s="179" t="s">
        <v>322</v>
      </c>
      <c r="I1647" s="179" t="s">
        <v>2572</v>
      </c>
      <c r="J1647" s="179" t="s">
        <v>97</v>
      </c>
      <c r="K1647" s="127" t="s">
        <v>1903</v>
      </c>
      <c r="L1647" s="179" t="s">
        <v>154</v>
      </c>
      <c r="M1647"/>
      <c r="N1647"/>
    </row>
    <row r="1648" spans="1:14" ht="15.6" hidden="1">
      <c r="A1648" s="376">
        <v>45889</v>
      </c>
      <c r="B1648" s="179" t="s">
        <v>3681</v>
      </c>
      <c r="C1648" s="179" t="s">
        <v>173</v>
      </c>
      <c r="D1648" s="179" t="s">
        <v>442</v>
      </c>
      <c r="E1648" s="369">
        <v>1000</v>
      </c>
      <c r="F1648" s="317">
        <f t="shared" si="16"/>
        <v>1.7827155035636482</v>
      </c>
      <c r="G1648" s="318">
        <v>560.94200000000001</v>
      </c>
      <c r="H1648" s="179" t="s">
        <v>322</v>
      </c>
      <c r="I1648" s="179" t="s">
        <v>2572</v>
      </c>
      <c r="J1648" s="179" t="s">
        <v>97</v>
      </c>
      <c r="K1648" s="127" t="s">
        <v>1903</v>
      </c>
      <c r="L1648" s="179" t="s">
        <v>154</v>
      </c>
      <c r="M1648"/>
      <c r="N1648"/>
    </row>
    <row r="1649" spans="1:14" ht="15.6" hidden="1">
      <c r="A1649" s="376">
        <v>45889</v>
      </c>
      <c r="B1649" s="179" t="s">
        <v>2550</v>
      </c>
      <c r="C1649" s="179" t="s">
        <v>173</v>
      </c>
      <c r="D1649" s="179" t="s">
        <v>442</v>
      </c>
      <c r="E1649" s="369">
        <v>1000</v>
      </c>
      <c r="F1649" s="317">
        <f t="shared" si="16"/>
        <v>1.7827155035636482</v>
      </c>
      <c r="G1649" s="318">
        <v>560.94200000000001</v>
      </c>
      <c r="H1649" s="179" t="s">
        <v>322</v>
      </c>
      <c r="I1649" s="179" t="s">
        <v>2572</v>
      </c>
      <c r="J1649" s="179" t="s">
        <v>97</v>
      </c>
      <c r="K1649" s="127" t="s">
        <v>1903</v>
      </c>
      <c r="L1649" s="179" t="s">
        <v>154</v>
      </c>
      <c r="M1649"/>
      <c r="N1649"/>
    </row>
    <row r="1650" spans="1:14" ht="15.6" hidden="1">
      <c r="A1650" s="376">
        <v>45889</v>
      </c>
      <c r="B1650" s="179" t="s">
        <v>2551</v>
      </c>
      <c r="C1650" s="179" t="s">
        <v>368</v>
      </c>
      <c r="D1650" s="179" t="s">
        <v>442</v>
      </c>
      <c r="E1650" s="369">
        <v>1000</v>
      </c>
      <c r="F1650" s="317">
        <f t="shared" si="16"/>
        <v>1.7827155035636482</v>
      </c>
      <c r="G1650" s="318">
        <v>560.94200000000001</v>
      </c>
      <c r="H1650" s="179" t="s">
        <v>322</v>
      </c>
      <c r="I1650" s="179" t="s">
        <v>2577</v>
      </c>
      <c r="J1650" s="179" t="s">
        <v>97</v>
      </c>
      <c r="K1650" s="127" t="s">
        <v>1903</v>
      </c>
      <c r="L1650" s="179" t="s">
        <v>154</v>
      </c>
      <c r="M1650"/>
      <c r="N1650"/>
    </row>
    <row r="1651" spans="1:14" ht="15.6" hidden="1">
      <c r="A1651" s="376">
        <v>45889</v>
      </c>
      <c r="B1651" s="179" t="s">
        <v>2552</v>
      </c>
      <c r="C1651" s="179" t="s">
        <v>173</v>
      </c>
      <c r="D1651" s="179" t="s">
        <v>442</v>
      </c>
      <c r="E1651" s="369">
        <v>1000</v>
      </c>
      <c r="F1651" s="317">
        <f t="shared" si="16"/>
        <v>1.7827155035636482</v>
      </c>
      <c r="G1651" s="318">
        <v>560.94200000000001</v>
      </c>
      <c r="H1651" s="179" t="s">
        <v>322</v>
      </c>
      <c r="I1651" s="179" t="s">
        <v>2572</v>
      </c>
      <c r="J1651" s="179" t="s">
        <v>97</v>
      </c>
      <c r="K1651" s="127" t="s">
        <v>1903</v>
      </c>
      <c r="L1651" s="179" t="s">
        <v>154</v>
      </c>
      <c r="M1651"/>
      <c r="N1651"/>
    </row>
    <row r="1652" spans="1:14" ht="15.6" hidden="1">
      <c r="A1652" s="376">
        <v>45889</v>
      </c>
      <c r="B1652" s="179" t="s">
        <v>2589</v>
      </c>
      <c r="C1652" s="179" t="s">
        <v>2391</v>
      </c>
      <c r="D1652" s="179" t="s">
        <v>116</v>
      </c>
      <c r="E1652" s="332">
        <v>20000</v>
      </c>
      <c r="F1652" s="317">
        <f t="shared" si="16"/>
        <v>35.654310071272967</v>
      </c>
      <c r="G1652" s="318">
        <v>560.94200000000001</v>
      </c>
      <c r="H1652" s="179" t="s">
        <v>189</v>
      </c>
      <c r="I1652" s="179" t="s">
        <v>2608</v>
      </c>
      <c r="J1652" s="179" t="s">
        <v>97</v>
      </c>
      <c r="K1652" s="127" t="s">
        <v>1903</v>
      </c>
      <c r="L1652" s="179" t="s">
        <v>154</v>
      </c>
      <c r="M1652"/>
      <c r="N1652"/>
    </row>
    <row r="1653" spans="1:14" ht="15.6" hidden="1">
      <c r="A1653" s="376">
        <v>45889</v>
      </c>
      <c r="B1653" s="179" t="s">
        <v>2590</v>
      </c>
      <c r="C1653" s="179" t="s">
        <v>173</v>
      </c>
      <c r="D1653" s="179" t="s">
        <v>116</v>
      </c>
      <c r="E1653" s="332">
        <v>1000</v>
      </c>
      <c r="F1653" s="317">
        <f t="shared" si="16"/>
        <v>1.7827155035636482</v>
      </c>
      <c r="G1653" s="318">
        <v>560.94200000000001</v>
      </c>
      <c r="H1653" s="179" t="s">
        <v>189</v>
      </c>
      <c r="I1653" s="179" t="s">
        <v>2604</v>
      </c>
      <c r="J1653" s="179" t="s">
        <v>97</v>
      </c>
      <c r="K1653" s="127" t="s">
        <v>1903</v>
      </c>
      <c r="L1653" s="179" t="s">
        <v>154</v>
      </c>
      <c r="M1653"/>
      <c r="N1653"/>
    </row>
    <row r="1654" spans="1:14" ht="15.6" hidden="1">
      <c r="A1654" s="376">
        <v>45889</v>
      </c>
      <c r="B1654" s="179" t="s">
        <v>2591</v>
      </c>
      <c r="C1654" s="179" t="s">
        <v>173</v>
      </c>
      <c r="D1654" s="179" t="s">
        <v>116</v>
      </c>
      <c r="E1654" s="332">
        <v>1000</v>
      </c>
      <c r="F1654" s="317">
        <f t="shared" si="16"/>
        <v>1.7827155035636482</v>
      </c>
      <c r="G1654" s="318">
        <v>560.94200000000001</v>
      </c>
      <c r="H1654" s="179" t="s">
        <v>189</v>
      </c>
      <c r="I1654" s="179" t="s">
        <v>2604</v>
      </c>
      <c r="J1654" s="179" t="s">
        <v>97</v>
      </c>
      <c r="K1654" s="127" t="s">
        <v>1903</v>
      </c>
      <c r="L1654" s="179" t="s">
        <v>154</v>
      </c>
      <c r="M1654"/>
      <c r="N1654"/>
    </row>
    <row r="1655" spans="1:14" ht="15.6" hidden="1">
      <c r="A1655" s="376">
        <v>45889</v>
      </c>
      <c r="B1655" s="179" t="s">
        <v>2592</v>
      </c>
      <c r="C1655" s="179" t="s">
        <v>173</v>
      </c>
      <c r="D1655" s="179" t="s">
        <v>116</v>
      </c>
      <c r="E1655" s="332">
        <v>1000</v>
      </c>
      <c r="F1655" s="317">
        <f t="shared" si="16"/>
        <v>1.7827155035636482</v>
      </c>
      <c r="G1655" s="318">
        <v>560.94200000000001</v>
      </c>
      <c r="H1655" s="179" t="s">
        <v>189</v>
      </c>
      <c r="I1655" s="179" t="s">
        <v>2604</v>
      </c>
      <c r="J1655" s="179" t="s">
        <v>97</v>
      </c>
      <c r="K1655" s="127" t="s">
        <v>1903</v>
      </c>
      <c r="L1655" s="179" t="s">
        <v>154</v>
      </c>
      <c r="M1655"/>
      <c r="N1655"/>
    </row>
    <row r="1656" spans="1:14" ht="15.6" hidden="1">
      <c r="A1656" s="376">
        <v>45889</v>
      </c>
      <c r="B1656" s="179" t="s">
        <v>2593</v>
      </c>
      <c r="C1656" s="179" t="s">
        <v>312</v>
      </c>
      <c r="D1656" s="179" t="s">
        <v>116</v>
      </c>
      <c r="E1656" s="332">
        <v>7500</v>
      </c>
      <c r="F1656" s="317">
        <f t="shared" si="16"/>
        <v>13.370366276727362</v>
      </c>
      <c r="G1656" s="318">
        <v>560.94200000000001</v>
      </c>
      <c r="H1656" s="179" t="s">
        <v>189</v>
      </c>
      <c r="I1656" s="179" t="s">
        <v>2609</v>
      </c>
      <c r="J1656" s="179" t="s">
        <v>97</v>
      </c>
      <c r="K1656" s="127" t="s">
        <v>1903</v>
      </c>
      <c r="L1656" s="179" t="s">
        <v>154</v>
      </c>
      <c r="M1656"/>
      <c r="N1656"/>
    </row>
    <row r="1657" spans="1:14" ht="15.6" hidden="1">
      <c r="A1657" s="376">
        <v>45889</v>
      </c>
      <c r="B1657" s="179" t="s">
        <v>2594</v>
      </c>
      <c r="C1657" s="179" t="s">
        <v>173</v>
      </c>
      <c r="D1657" s="179" t="s">
        <v>116</v>
      </c>
      <c r="E1657" s="332">
        <v>1000</v>
      </c>
      <c r="F1657" s="317">
        <f t="shared" si="16"/>
        <v>1.7827155035636482</v>
      </c>
      <c r="G1657" s="318">
        <v>560.94200000000001</v>
      </c>
      <c r="H1657" s="179" t="s">
        <v>189</v>
      </c>
      <c r="I1657" s="179" t="s">
        <v>2604</v>
      </c>
      <c r="J1657" s="179" t="s">
        <v>97</v>
      </c>
      <c r="K1657" s="127" t="s">
        <v>1903</v>
      </c>
      <c r="L1657" s="179" t="s">
        <v>154</v>
      </c>
      <c r="M1657"/>
      <c r="N1657"/>
    </row>
    <row r="1658" spans="1:14" ht="15.6" hidden="1">
      <c r="A1658" s="379">
        <v>45889</v>
      </c>
      <c r="B1658" s="179" t="s">
        <v>2619</v>
      </c>
      <c r="C1658" s="179" t="s">
        <v>173</v>
      </c>
      <c r="D1658" s="179" t="s">
        <v>116</v>
      </c>
      <c r="E1658" s="332">
        <v>300</v>
      </c>
      <c r="F1658" s="317">
        <f t="shared" si="16"/>
        <v>0.53481465106909443</v>
      </c>
      <c r="G1658" s="318">
        <v>560.94200000000001</v>
      </c>
      <c r="H1658" s="179" t="s">
        <v>192</v>
      </c>
      <c r="I1658" s="179" t="s">
        <v>2647</v>
      </c>
      <c r="J1658" s="179" t="s">
        <v>97</v>
      </c>
      <c r="K1658" s="127" t="s">
        <v>1903</v>
      </c>
      <c r="L1658" s="179" t="s">
        <v>154</v>
      </c>
      <c r="M1658"/>
      <c r="N1658"/>
    </row>
    <row r="1659" spans="1:14" ht="15.6" hidden="1">
      <c r="A1659" s="379">
        <v>45889</v>
      </c>
      <c r="B1659" s="179" t="s">
        <v>2624</v>
      </c>
      <c r="C1659" s="179" t="s">
        <v>312</v>
      </c>
      <c r="D1659" s="179" t="s">
        <v>116</v>
      </c>
      <c r="E1659" s="332">
        <v>1500</v>
      </c>
      <c r="F1659" s="317">
        <f t="shared" si="16"/>
        <v>2.6740732553454722</v>
      </c>
      <c r="G1659" s="318">
        <v>560.94200000000001</v>
      </c>
      <c r="H1659" s="179" t="s">
        <v>192</v>
      </c>
      <c r="I1659" s="179" t="s">
        <v>2651</v>
      </c>
      <c r="J1659" s="179" t="s">
        <v>97</v>
      </c>
      <c r="K1659" s="127" t="s">
        <v>1903</v>
      </c>
      <c r="L1659" s="179" t="s">
        <v>154</v>
      </c>
      <c r="M1659"/>
      <c r="N1659"/>
    </row>
    <row r="1660" spans="1:14" ht="15.6" hidden="1">
      <c r="A1660" s="379">
        <v>45889</v>
      </c>
      <c r="B1660" s="179" t="s">
        <v>2621</v>
      </c>
      <c r="C1660" s="179" t="s">
        <v>173</v>
      </c>
      <c r="D1660" s="179" t="s">
        <v>116</v>
      </c>
      <c r="E1660" s="332">
        <v>300</v>
      </c>
      <c r="F1660" s="317">
        <f t="shared" si="16"/>
        <v>0.53481465106909443</v>
      </c>
      <c r="G1660" s="318">
        <v>560.94200000000001</v>
      </c>
      <c r="H1660" s="179" t="s">
        <v>192</v>
      </c>
      <c r="I1660" s="179" t="s">
        <v>2647</v>
      </c>
      <c r="J1660" s="179" t="s">
        <v>97</v>
      </c>
      <c r="K1660" s="127" t="s">
        <v>1903</v>
      </c>
      <c r="L1660" s="179" t="s">
        <v>154</v>
      </c>
      <c r="M1660"/>
      <c r="N1660"/>
    </row>
    <row r="1661" spans="1:14" ht="15.6" hidden="1">
      <c r="A1661" s="379">
        <v>45889</v>
      </c>
      <c r="B1661" s="179" t="s">
        <v>2625</v>
      </c>
      <c r="C1661" s="179" t="s">
        <v>173</v>
      </c>
      <c r="D1661" s="179" t="s">
        <v>116</v>
      </c>
      <c r="E1661" s="332">
        <v>300</v>
      </c>
      <c r="F1661" s="317">
        <f t="shared" si="16"/>
        <v>0.53481465106909443</v>
      </c>
      <c r="G1661" s="318">
        <v>560.94200000000001</v>
      </c>
      <c r="H1661" s="179" t="s">
        <v>192</v>
      </c>
      <c r="I1661" s="179" t="s">
        <v>2647</v>
      </c>
      <c r="J1661" s="179" t="s">
        <v>97</v>
      </c>
      <c r="K1661" s="127" t="s">
        <v>1903</v>
      </c>
      <c r="L1661" s="179" t="s">
        <v>154</v>
      </c>
      <c r="M1661"/>
      <c r="N1661"/>
    </row>
    <row r="1662" spans="1:14" ht="15.6" hidden="1">
      <c r="A1662" s="379">
        <v>45889</v>
      </c>
      <c r="B1662" s="179" t="s">
        <v>2626</v>
      </c>
      <c r="C1662" s="179" t="s">
        <v>173</v>
      </c>
      <c r="D1662" s="179" t="s">
        <v>116</v>
      </c>
      <c r="E1662" s="332">
        <v>300</v>
      </c>
      <c r="F1662" s="317">
        <f t="shared" si="16"/>
        <v>0.53481465106909443</v>
      </c>
      <c r="G1662" s="318">
        <v>560.94200000000001</v>
      </c>
      <c r="H1662" s="179" t="s">
        <v>192</v>
      </c>
      <c r="I1662" s="179" t="s">
        <v>2647</v>
      </c>
      <c r="J1662" s="179" t="s">
        <v>97</v>
      </c>
      <c r="K1662" s="127" t="s">
        <v>1903</v>
      </c>
      <c r="L1662" s="179" t="s">
        <v>154</v>
      </c>
      <c r="M1662"/>
      <c r="N1662"/>
    </row>
    <row r="1663" spans="1:14" ht="15.6" hidden="1">
      <c r="A1663" s="379">
        <v>45889</v>
      </c>
      <c r="B1663" s="179" t="s">
        <v>2619</v>
      </c>
      <c r="C1663" s="179" t="s">
        <v>173</v>
      </c>
      <c r="D1663" s="179" t="s">
        <v>116</v>
      </c>
      <c r="E1663" s="332">
        <v>300</v>
      </c>
      <c r="F1663" s="317">
        <f t="shared" si="16"/>
        <v>0.53481465106909443</v>
      </c>
      <c r="G1663" s="318">
        <v>560.94200000000001</v>
      </c>
      <c r="H1663" s="179" t="s">
        <v>192</v>
      </c>
      <c r="I1663" s="179" t="s">
        <v>2647</v>
      </c>
      <c r="J1663" s="179" t="s">
        <v>97</v>
      </c>
      <c r="K1663" s="127" t="s">
        <v>1903</v>
      </c>
      <c r="L1663" s="179" t="s">
        <v>154</v>
      </c>
      <c r="M1663"/>
      <c r="N1663"/>
    </row>
    <row r="1664" spans="1:14" ht="15.6" hidden="1">
      <c r="A1664" s="379">
        <v>45889</v>
      </c>
      <c r="B1664" s="179" t="s">
        <v>2627</v>
      </c>
      <c r="C1664" s="179" t="s">
        <v>312</v>
      </c>
      <c r="D1664" s="179" t="s">
        <v>116</v>
      </c>
      <c r="E1664" s="332">
        <v>1500</v>
      </c>
      <c r="F1664" s="317">
        <f t="shared" si="16"/>
        <v>2.6740732553454722</v>
      </c>
      <c r="G1664" s="318">
        <v>560.94200000000001</v>
      </c>
      <c r="H1664" s="179" t="s">
        <v>192</v>
      </c>
      <c r="I1664" s="179" t="s">
        <v>2651</v>
      </c>
      <c r="J1664" s="179" t="s">
        <v>97</v>
      </c>
      <c r="K1664" s="127" t="s">
        <v>1903</v>
      </c>
      <c r="L1664" s="179" t="s">
        <v>154</v>
      </c>
      <c r="M1664"/>
      <c r="N1664"/>
    </row>
    <row r="1665" spans="1:14" ht="15.6" hidden="1">
      <c r="A1665" s="379">
        <v>45889</v>
      </c>
      <c r="B1665" s="179" t="s">
        <v>2621</v>
      </c>
      <c r="C1665" s="179" t="s">
        <v>173</v>
      </c>
      <c r="D1665" s="179" t="s">
        <v>116</v>
      </c>
      <c r="E1665" s="332">
        <v>300</v>
      </c>
      <c r="F1665" s="317">
        <f t="shared" si="16"/>
        <v>0.53481465106909443</v>
      </c>
      <c r="G1665" s="318">
        <v>560.94200000000001</v>
      </c>
      <c r="H1665" s="179" t="s">
        <v>192</v>
      </c>
      <c r="I1665" s="179" t="s">
        <v>2647</v>
      </c>
      <c r="J1665" s="179" t="s">
        <v>97</v>
      </c>
      <c r="K1665" s="127" t="s">
        <v>1903</v>
      </c>
      <c r="L1665" s="179" t="s">
        <v>154</v>
      </c>
      <c r="M1665"/>
      <c r="N1665"/>
    </row>
    <row r="1666" spans="1:14" ht="15.6" hidden="1">
      <c r="A1666" s="379">
        <v>45889</v>
      </c>
      <c r="B1666" s="179" t="s">
        <v>2622</v>
      </c>
      <c r="C1666" s="179" t="s">
        <v>173</v>
      </c>
      <c r="D1666" s="179" t="s">
        <v>116</v>
      </c>
      <c r="E1666" s="332">
        <v>300</v>
      </c>
      <c r="F1666" s="317">
        <f t="shared" si="16"/>
        <v>0.53481465106909443</v>
      </c>
      <c r="G1666" s="318">
        <v>560.94200000000001</v>
      </c>
      <c r="H1666" s="179" t="s">
        <v>192</v>
      </c>
      <c r="I1666" s="179" t="s">
        <v>2647</v>
      </c>
      <c r="J1666" s="179" t="s">
        <v>97</v>
      </c>
      <c r="K1666" s="127" t="s">
        <v>1903</v>
      </c>
      <c r="L1666" s="179" t="s">
        <v>154</v>
      </c>
      <c r="M1666"/>
      <c r="N1666"/>
    </row>
    <row r="1667" spans="1:14" ht="15.6" hidden="1">
      <c r="A1667" s="376">
        <v>45889</v>
      </c>
      <c r="B1667" s="179" t="s">
        <v>2753</v>
      </c>
      <c r="C1667" s="179" t="s">
        <v>173</v>
      </c>
      <c r="D1667" s="179" t="s">
        <v>116</v>
      </c>
      <c r="E1667" s="179">
        <v>3000</v>
      </c>
      <c r="F1667" s="317">
        <f t="shared" si="16"/>
        <v>5.3481465106909445</v>
      </c>
      <c r="G1667" s="318">
        <v>560.94200000000001</v>
      </c>
      <c r="H1667" s="179" t="s">
        <v>186</v>
      </c>
      <c r="I1667" s="179" t="s">
        <v>2759</v>
      </c>
      <c r="J1667" s="179" t="s">
        <v>97</v>
      </c>
      <c r="K1667" s="127" t="s">
        <v>1903</v>
      </c>
      <c r="L1667" s="179" t="s">
        <v>154</v>
      </c>
      <c r="M1667"/>
      <c r="N1667"/>
    </row>
    <row r="1668" spans="1:14" ht="15.6" hidden="1">
      <c r="A1668" s="376">
        <v>45889</v>
      </c>
      <c r="B1668" s="179" t="s">
        <v>2752</v>
      </c>
      <c r="C1668" s="179" t="s">
        <v>173</v>
      </c>
      <c r="D1668" s="179" t="s">
        <v>116</v>
      </c>
      <c r="E1668" s="179">
        <v>1000</v>
      </c>
      <c r="F1668" s="317">
        <f t="shared" si="16"/>
        <v>1.7827155035636482</v>
      </c>
      <c r="G1668" s="318">
        <v>560.94200000000001</v>
      </c>
      <c r="H1668" s="179" t="s">
        <v>186</v>
      </c>
      <c r="I1668" s="179" t="s">
        <v>2759</v>
      </c>
      <c r="J1668" s="179" t="s">
        <v>97</v>
      </c>
      <c r="K1668" s="127" t="s">
        <v>1903</v>
      </c>
      <c r="L1668" s="179" t="s">
        <v>154</v>
      </c>
      <c r="M1668"/>
      <c r="N1668"/>
    </row>
    <row r="1669" spans="1:14" ht="15.6" hidden="1">
      <c r="A1669" s="376">
        <v>45889</v>
      </c>
      <c r="B1669" s="179" t="s">
        <v>2754</v>
      </c>
      <c r="C1669" s="179" t="s">
        <v>173</v>
      </c>
      <c r="D1669" s="179" t="s">
        <v>116</v>
      </c>
      <c r="E1669" s="179">
        <v>1500</v>
      </c>
      <c r="F1669" s="317">
        <f t="shared" si="16"/>
        <v>2.6740732553454722</v>
      </c>
      <c r="G1669" s="318">
        <v>560.94200000000001</v>
      </c>
      <c r="H1669" s="179" t="s">
        <v>186</v>
      </c>
      <c r="I1669" s="179" t="s">
        <v>2759</v>
      </c>
      <c r="J1669" s="179" t="s">
        <v>97</v>
      </c>
      <c r="K1669" s="127" t="s">
        <v>1903</v>
      </c>
      <c r="L1669" s="179" t="s">
        <v>154</v>
      </c>
      <c r="M1669"/>
      <c r="N1669"/>
    </row>
    <row r="1670" spans="1:14" ht="15.6" hidden="1">
      <c r="A1670" s="376">
        <v>45889</v>
      </c>
      <c r="B1670" s="179" t="s">
        <v>2755</v>
      </c>
      <c r="C1670" s="179" t="s">
        <v>173</v>
      </c>
      <c r="D1670" s="179" t="s">
        <v>116</v>
      </c>
      <c r="E1670" s="179">
        <v>1500</v>
      </c>
      <c r="F1670" s="317">
        <f t="shared" si="16"/>
        <v>2.6740732553454722</v>
      </c>
      <c r="G1670" s="318">
        <v>560.94200000000001</v>
      </c>
      <c r="H1670" s="179" t="s">
        <v>186</v>
      </c>
      <c r="I1670" s="179" t="s">
        <v>2759</v>
      </c>
      <c r="J1670" s="179" t="s">
        <v>97</v>
      </c>
      <c r="K1670" s="127" t="s">
        <v>1903</v>
      </c>
      <c r="L1670" s="179" t="s">
        <v>154</v>
      </c>
      <c r="M1670"/>
      <c r="N1670"/>
    </row>
    <row r="1671" spans="1:14" ht="15.6" hidden="1">
      <c r="A1671" s="372">
        <v>45890</v>
      </c>
      <c r="B1671" s="396" t="s">
        <v>2100</v>
      </c>
      <c r="C1671" s="303" t="s">
        <v>173</v>
      </c>
      <c r="D1671" s="303" t="s">
        <v>118</v>
      </c>
      <c r="E1671" s="396">
        <v>1000</v>
      </c>
      <c r="F1671" s="317">
        <f t="shared" si="16"/>
        <v>1.7827155035636482</v>
      </c>
      <c r="G1671" s="318">
        <v>560.94200000000001</v>
      </c>
      <c r="H1671" s="403" t="s">
        <v>152</v>
      </c>
      <c r="I1671" s="404" t="s">
        <v>2425</v>
      </c>
      <c r="J1671" s="179" t="s">
        <v>97</v>
      </c>
      <c r="K1671" s="127" t="s">
        <v>1903</v>
      </c>
      <c r="L1671" s="179" t="s">
        <v>154</v>
      </c>
      <c r="M1671" s="390"/>
      <c r="N1671" s="390"/>
    </row>
    <row r="1672" spans="1:14" ht="15.6" hidden="1">
      <c r="A1672" s="372">
        <v>45890</v>
      </c>
      <c r="B1672" s="396" t="s">
        <v>2101</v>
      </c>
      <c r="C1672" s="303" t="s">
        <v>173</v>
      </c>
      <c r="D1672" s="303" t="s">
        <v>118</v>
      </c>
      <c r="E1672" s="396">
        <v>1000</v>
      </c>
      <c r="F1672" s="317">
        <f t="shared" si="16"/>
        <v>1.7827155035636482</v>
      </c>
      <c r="G1672" s="318">
        <v>560.94200000000001</v>
      </c>
      <c r="H1672" s="403" t="s">
        <v>152</v>
      </c>
      <c r="I1672" s="404" t="s">
        <v>2425</v>
      </c>
      <c r="J1672" s="179" t="s">
        <v>97</v>
      </c>
      <c r="K1672" s="127" t="s">
        <v>1903</v>
      </c>
      <c r="L1672" s="179" t="s">
        <v>154</v>
      </c>
      <c r="M1672" s="390"/>
      <c r="N1672" s="390"/>
    </row>
    <row r="1673" spans="1:14" ht="15.6" hidden="1">
      <c r="A1673" s="378">
        <v>45890</v>
      </c>
      <c r="B1673" s="179" t="s">
        <v>2154</v>
      </c>
      <c r="C1673" s="179" t="s">
        <v>173</v>
      </c>
      <c r="D1673" s="179" t="s">
        <v>117</v>
      </c>
      <c r="E1673" s="332">
        <v>1000</v>
      </c>
      <c r="F1673" s="317">
        <f t="shared" si="16"/>
        <v>1.7827155035636482</v>
      </c>
      <c r="G1673" s="318">
        <v>560.94200000000001</v>
      </c>
      <c r="H1673" s="179" t="s">
        <v>583</v>
      </c>
      <c r="I1673" s="179" t="s">
        <v>2464</v>
      </c>
      <c r="J1673" s="179" t="s">
        <v>97</v>
      </c>
      <c r="K1673" s="127" t="s">
        <v>1903</v>
      </c>
      <c r="L1673" s="179" t="s">
        <v>154</v>
      </c>
      <c r="M1673" s="390"/>
      <c r="N1673" s="390"/>
    </row>
    <row r="1674" spans="1:14" ht="15.6" hidden="1">
      <c r="A1674" s="378">
        <v>45890</v>
      </c>
      <c r="B1674" s="179" t="s">
        <v>2155</v>
      </c>
      <c r="C1674" s="179" t="s">
        <v>173</v>
      </c>
      <c r="D1674" s="179" t="s">
        <v>117</v>
      </c>
      <c r="E1674" s="332">
        <v>1000</v>
      </c>
      <c r="F1674" s="317">
        <f t="shared" si="16"/>
        <v>1.7827155035636482</v>
      </c>
      <c r="G1674" s="318">
        <v>560.94200000000001</v>
      </c>
      <c r="H1674" s="179" t="s">
        <v>583</v>
      </c>
      <c r="I1674" s="179" t="s">
        <v>2464</v>
      </c>
      <c r="J1674" s="179" t="s">
        <v>97</v>
      </c>
      <c r="K1674" s="127" t="s">
        <v>1903</v>
      </c>
      <c r="L1674" s="179" t="s">
        <v>154</v>
      </c>
      <c r="M1674" s="390"/>
      <c r="N1674" s="390"/>
    </row>
    <row r="1675" spans="1:14" ht="15.6" hidden="1">
      <c r="A1675" s="241">
        <v>45890</v>
      </c>
      <c r="B1675" s="174" t="s">
        <v>3801</v>
      </c>
      <c r="C1675" s="174" t="s">
        <v>173</v>
      </c>
      <c r="D1675" s="179" t="s">
        <v>442</v>
      </c>
      <c r="E1675" s="174">
        <v>1000</v>
      </c>
      <c r="F1675" s="317">
        <f t="shared" si="16"/>
        <v>1.7827155035636482</v>
      </c>
      <c r="G1675" s="318">
        <v>560.94200000000001</v>
      </c>
      <c r="H1675" s="174" t="s">
        <v>183</v>
      </c>
      <c r="I1675" s="174" t="s">
        <v>2473</v>
      </c>
      <c r="J1675" s="179" t="s">
        <v>97</v>
      </c>
      <c r="K1675" s="127" t="s">
        <v>1903</v>
      </c>
      <c r="L1675" s="179" t="s">
        <v>154</v>
      </c>
      <c r="M1675"/>
      <c r="N1675"/>
    </row>
    <row r="1676" spans="1:14" ht="15.6" hidden="1">
      <c r="A1676" s="241">
        <v>45890</v>
      </c>
      <c r="B1676" s="174" t="s">
        <v>3786</v>
      </c>
      <c r="C1676" s="174" t="s">
        <v>173</v>
      </c>
      <c r="D1676" s="179" t="s">
        <v>442</v>
      </c>
      <c r="E1676" s="174">
        <v>1000</v>
      </c>
      <c r="F1676" s="317">
        <f t="shared" si="16"/>
        <v>1.7827155035636482</v>
      </c>
      <c r="G1676" s="318">
        <v>560.94200000000001</v>
      </c>
      <c r="H1676" s="174" t="s">
        <v>183</v>
      </c>
      <c r="I1676" s="174" t="s">
        <v>2473</v>
      </c>
      <c r="J1676" s="179" t="s">
        <v>97</v>
      </c>
      <c r="K1676" s="127" t="s">
        <v>1903</v>
      </c>
      <c r="L1676" s="179" t="s">
        <v>154</v>
      </c>
      <c r="M1676"/>
      <c r="N1676"/>
    </row>
    <row r="1677" spans="1:14" ht="15.6" hidden="1">
      <c r="A1677" s="241">
        <v>45890</v>
      </c>
      <c r="B1677" s="174" t="s">
        <v>3802</v>
      </c>
      <c r="C1677" s="174" t="s">
        <v>173</v>
      </c>
      <c r="D1677" s="179" t="s">
        <v>442</v>
      </c>
      <c r="E1677" s="174">
        <v>500</v>
      </c>
      <c r="F1677" s="317">
        <f t="shared" si="16"/>
        <v>0.89135775178182408</v>
      </c>
      <c r="G1677" s="318">
        <v>560.94200000000001</v>
      </c>
      <c r="H1677" s="174" t="s">
        <v>183</v>
      </c>
      <c r="I1677" s="174" t="s">
        <v>2473</v>
      </c>
      <c r="J1677" s="179" t="s">
        <v>97</v>
      </c>
      <c r="K1677" s="127" t="s">
        <v>1903</v>
      </c>
      <c r="L1677" s="179" t="s">
        <v>154</v>
      </c>
      <c r="M1677"/>
      <c r="N1677"/>
    </row>
    <row r="1678" spans="1:14" ht="15.6" hidden="1">
      <c r="A1678" s="241">
        <v>45890</v>
      </c>
      <c r="B1678" s="174" t="s">
        <v>3786</v>
      </c>
      <c r="C1678" s="174" t="s">
        <v>173</v>
      </c>
      <c r="D1678" s="179" t="s">
        <v>442</v>
      </c>
      <c r="E1678" s="174">
        <v>1000</v>
      </c>
      <c r="F1678" s="317">
        <f t="shared" si="16"/>
        <v>1.7827155035636482</v>
      </c>
      <c r="G1678" s="318">
        <v>560.94200000000001</v>
      </c>
      <c r="H1678" s="174" t="s">
        <v>183</v>
      </c>
      <c r="I1678" s="174" t="s">
        <v>2473</v>
      </c>
      <c r="J1678" s="179" t="s">
        <v>97</v>
      </c>
      <c r="K1678" s="127" t="s">
        <v>1903</v>
      </c>
      <c r="L1678" s="179" t="s">
        <v>154</v>
      </c>
      <c r="M1678"/>
      <c r="N1678"/>
    </row>
    <row r="1679" spans="1:14" ht="15.6" hidden="1">
      <c r="A1679" s="379">
        <v>45890</v>
      </c>
      <c r="B1679" s="179" t="s">
        <v>3726</v>
      </c>
      <c r="C1679" s="179" t="s">
        <v>173</v>
      </c>
      <c r="D1679" s="179" t="s">
        <v>442</v>
      </c>
      <c r="E1679" s="179">
        <v>500</v>
      </c>
      <c r="F1679" s="317">
        <f t="shared" si="16"/>
        <v>0.89135775178182408</v>
      </c>
      <c r="G1679" s="318">
        <v>560.94200000000001</v>
      </c>
      <c r="H1679" s="179" t="s">
        <v>174</v>
      </c>
      <c r="I1679" s="179" t="s">
        <v>2494</v>
      </c>
      <c r="J1679" s="179" t="s">
        <v>97</v>
      </c>
      <c r="K1679" s="127" t="s">
        <v>1903</v>
      </c>
      <c r="L1679" s="179" t="s">
        <v>154</v>
      </c>
      <c r="M1679"/>
      <c r="N1679"/>
    </row>
    <row r="1680" spans="1:14" ht="15.6" hidden="1">
      <c r="A1680" s="379">
        <v>45890</v>
      </c>
      <c r="B1680" s="179" t="s">
        <v>2492</v>
      </c>
      <c r="C1680" s="179" t="s">
        <v>173</v>
      </c>
      <c r="D1680" s="179" t="s">
        <v>442</v>
      </c>
      <c r="E1680" s="179">
        <v>500</v>
      </c>
      <c r="F1680" s="317">
        <f t="shared" si="16"/>
        <v>0.89135775178182408</v>
      </c>
      <c r="G1680" s="318">
        <v>560.94200000000001</v>
      </c>
      <c r="H1680" s="179" t="s">
        <v>174</v>
      </c>
      <c r="I1680" s="179" t="s">
        <v>2494</v>
      </c>
      <c r="J1680" s="179" t="s">
        <v>97</v>
      </c>
      <c r="K1680" s="127" t="s">
        <v>1903</v>
      </c>
      <c r="L1680" s="179" t="s">
        <v>154</v>
      </c>
      <c r="M1680"/>
      <c r="N1680"/>
    </row>
    <row r="1681" spans="1:14" ht="15.6" hidden="1">
      <c r="A1681" s="376">
        <v>45890</v>
      </c>
      <c r="B1681" s="179" t="s">
        <v>3702</v>
      </c>
      <c r="C1681" s="179" t="s">
        <v>176</v>
      </c>
      <c r="D1681" s="179" t="s">
        <v>442</v>
      </c>
      <c r="E1681" s="179">
        <v>30000</v>
      </c>
      <c r="F1681" s="317">
        <f t="shared" si="16"/>
        <v>53.481465106909447</v>
      </c>
      <c r="G1681" s="318">
        <v>560.94200000000001</v>
      </c>
      <c r="H1681" s="179" t="s">
        <v>316</v>
      </c>
      <c r="I1681" s="179" t="s">
        <v>2529</v>
      </c>
      <c r="J1681" s="179" t="s">
        <v>97</v>
      </c>
      <c r="K1681" s="127" t="s">
        <v>1903</v>
      </c>
      <c r="L1681" s="179" t="s">
        <v>154</v>
      </c>
      <c r="M1681"/>
      <c r="N1681"/>
    </row>
    <row r="1682" spans="1:14" ht="15.6" hidden="1">
      <c r="A1682" s="376">
        <v>45890</v>
      </c>
      <c r="B1682" s="179" t="s">
        <v>3718</v>
      </c>
      <c r="C1682" s="179" t="s">
        <v>173</v>
      </c>
      <c r="D1682" s="179" t="s">
        <v>442</v>
      </c>
      <c r="E1682" s="179">
        <v>500</v>
      </c>
      <c r="F1682" s="317">
        <f t="shared" si="16"/>
        <v>0.89135775178182408</v>
      </c>
      <c r="G1682" s="318">
        <v>560.94200000000001</v>
      </c>
      <c r="H1682" s="179" t="s">
        <v>316</v>
      </c>
      <c r="I1682" s="179" t="s">
        <v>2523</v>
      </c>
      <c r="J1682" s="179" t="s">
        <v>97</v>
      </c>
      <c r="K1682" s="127" t="s">
        <v>1903</v>
      </c>
      <c r="L1682" s="179" t="s">
        <v>154</v>
      </c>
      <c r="M1682"/>
      <c r="N1682"/>
    </row>
    <row r="1683" spans="1:14" ht="15.6" hidden="1">
      <c r="A1683" s="376">
        <v>45890</v>
      </c>
      <c r="B1683" s="179" t="s">
        <v>3719</v>
      </c>
      <c r="C1683" s="179" t="s">
        <v>173</v>
      </c>
      <c r="D1683" s="179" t="s">
        <v>442</v>
      </c>
      <c r="E1683" s="179">
        <v>4000</v>
      </c>
      <c r="F1683" s="317">
        <f t="shared" si="16"/>
        <v>7.1308620142545927</v>
      </c>
      <c r="G1683" s="318">
        <v>560.94200000000001</v>
      </c>
      <c r="H1683" s="179" t="s">
        <v>316</v>
      </c>
      <c r="I1683" s="179" t="s">
        <v>2530</v>
      </c>
      <c r="J1683" s="179" t="s">
        <v>97</v>
      </c>
      <c r="K1683" s="127" t="s">
        <v>1903</v>
      </c>
      <c r="L1683" s="179" t="s">
        <v>154</v>
      </c>
      <c r="M1683"/>
      <c r="N1683"/>
    </row>
    <row r="1684" spans="1:14" ht="15.6" hidden="1">
      <c r="A1684" s="376">
        <v>45890</v>
      </c>
      <c r="B1684" s="179" t="s">
        <v>3720</v>
      </c>
      <c r="C1684" s="179" t="s">
        <v>173</v>
      </c>
      <c r="D1684" s="179" t="s">
        <v>442</v>
      </c>
      <c r="E1684" s="179">
        <v>500</v>
      </c>
      <c r="F1684" s="317">
        <f t="shared" si="16"/>
        <v>0.89135775178182408</v>
      </c>
      <c r="G1684" s="318">
        <v>560.94200000000001</v>
      </c>
      <c r="H1684" s="179" t="s">
        <v>316</v>
      </c>
      <c r="I1684" s="179" t="s">
        <v>2523</v>
      </c>
      <c r="J1684" s="179" t="s">
        <v>97</v>
      </c>
      <c r="K1684" s="127" t="s">
        <v>1903</v>
      </c>
      <c r="L1684" s="179" t="s">
        <v>154</v>
      </c>
      <c r="M1684"/>
      <c r="N1684"/>
    </row>
    <row r="1685" spans="1:14" ht="15.6" hidden="1">
      <c r="A1685" s="376">
        <v>45890</v>
      </c>
      <c r="B1685" s="179" t="s">
        <v>2515</v>
      </c>
      <c r="C1685" s="179" t="s">
        <v>173</v>
      </c>
      <c r="D1685" s="179" t="s">
        <v>442</v>
      </c>
      <c r="E1685" s="179">
        <v>500</v>
      </c>
      <c r="F1685" s="317">
        <f t="shared" si="16"/>
        <v>0.89135775178182408</v>
      </c>
      <c r="G1685" s="318">
        <v>560.94200000000001</v>
      </c>
      <c r="H1685" s="179" t="s">
        <v>316</v>
      </c>
      <c r="I1685" s="179" t="s">
        <v>2523</v>
      </c>
      <c r="J1685" s="179" t="s">
        <v>97</v>
      </c>
      <c r="K1685" s="127" t="s">
        <v>1903</v>
      </c>
      <c r="L1685" s="179" t="s">
        <v>154</v>
      </c>
      <c r="M1685"/>
      <c r="N1685"/>
    </row>
    <row r="1686" spans="1:14" ht="15.6" hidden="1">
      <c r="A1686" s="376">
        <v>45890</v>
      </c>
      <c r="B1686" s="179" t="s">
        <v>3721</v>
      </c>
      <c r="C1686" s="179" t="s">
        <v>173</v>
      </c>
      <c r="D1686" s="179" t="s">
        <v>442</v>
      </c>
      <c r="E1686" s="179">
        <v>500</v>
      </c>
      <c r="F1686" s="317">
        <f t="shared" si="16"/>
        <v>0.89135775178182408</v>
      </c>
      <c r="G1686" s="318">
        <v>560.94200000000001</v>
      </c>
      <c r="H1686" s="179" t="s">
        <v>316</v>
      </c>
      <c r="I1686" s="179" t="s">
        <v>2523</v>
      </c>
      <c r="J1686" s="179" t="s">
        <v>97</v>
      </c>
      <c r="K1686" s="127" t="s">
        <v>1903</v>
      </c>
      <c r="L1686" s="179" t="s">
        <v>154</v>
      </c>
      <c r="M1686"/>
      <c r="N1686"/>
    </row>
    <row r="1687" spans="1:14" ht="15.6" hidden="1">
      <c r="A1687" s="376">
        <v>45890</v>
      </c>
      <c r="B1687" s="179" t="s">
        <v>3722</v>
      </c>
      <c r="C1687" s="179" t="s">
        <v>173</v>
      </c>
      <c r="D1687" s="179" t="s">
        <v>442</v>
      </c>
      <c r="E1687" s="179">
        <v>500</v>
      </c>
      <c r="F1687" s="317">
        <f t="shared" si="16"/>
        <v>0.89135775178182408</v>
      </c>
      <c r="G1687" s="318">
        <v>560.94200000000001</v>
      </c>
      <c r="H1687" s="179" t="s">
        <v>316</v>
      </c>
      <c r="I1687" s="179" t="s">
        <v>2523</v>
      </c>
      <c r="J1687" s="179" t="s">
        <v>97</v>
      </c>
      <c r="K1687" s="127" t="s">
        <v>1903</v>
      </c>
      <c r="L1687" s="179" t="s">
        <v>154</v>
      </c>
      <c r="M1687"/>
      <c r="N1687"/>
    </row>
    <row r="1688" spans="1:14" ht="15.6" hidden="1">
      <c r="A1688" s="376">
        <v>45890</v>
      </c>
      <c r="B1688" s="179" t="s">
        <v>2553</v>
      </c>
      <c r="C1688" s="179" t="s">
        <v>173</v>
      </c>
      <c r="D1688" s="179" t="s">
        <v>442</v>
      </c>
      <c r="E1688" s="369">
        <v>1000</v>
      </c>
      <c r="F1688" s="317">
        <f t="shared" si="16"/>
        <v>1.7827155035636482</v>
      </c>
      <c r="G1688" s="318">
        <v>560.94200000000001</v>
      </c>
      <c r="H1688" s="179" t="s">
        <v>322</v>
      </c>
      <c r="I1688" s="179" t="s">
        <v>2572</v>
      </c>
      <c r="J1688" s="179" t="s">
        <v>97</v>
      </c>
      <c r="K1688" s="127" t="s">
        <v>1903</v>
      </c>
      <c r="L1688" s="179" t="s">
        <v>154</v>
      </c>
      <c r="M1688"/>
      <c r="N1688"/>
    </row>
    <row r="1689" spans="1:14" ht="15.6" hidden="1">
      <c r="A1689" s="376">
        <v>45890</v>
      </c>
      <c r="B1689" s="179" t="s">
        <v>2551</v>
      </c>
      <c r="C1689" s="179" t="s">
        <v>368</v>
      </c>
      <c r="D1689" s="179" t="s">
        <v>442</v>
      </c>
      <c r="E1689" s="369">
        <v>1000</v>
      </c>
      <c r="F1689" s="317">
        <f t="shared" si="16"/>
        <v>1.7827155035636482</v>
      </c>
      <c r="G1689" s="318">
        <v>560.94200000000001</v>
      </c>
      <c r="H1689" s="179" t="s">
        <v>322</v>
      </c>
      <c r="I1689" s="179" t="s">
        <v>2577</v>
      </c>
      <c r="J1689" s="179" t="s">
        <v>97</v>
      </c>
      <c r="K1689" s="127" t="s">
        <v>1903</v>
      </c>
      <c r="L1689" s="179" t="s">
        <v>154</v>
      </c>
      <c r="M1689"/>
      <c r="N1689"/>
    </row>
    <row r="1690" spans="1:14" ht="15.6" hidden="1">
      <c r="A1690" s="376">
        <v>45890</v>
      </c>
      <c r="B1690" s="179" t="s">
        <v>2554</v>
      </c>
      <c r="C1690" s="179" t="s">
        <v>173</v>
      </c>
      <c r="D1690" s="179" t="s">
        <v>442</v>
      </c>
      <c r="E1690" s="369">
        <v>1000</v>
      </c>
      <c r="F1690" s="317">
        <f t="shared" si="16"/>
        <v>1.7827155035636482</v>
      </c>
      <c r="G1690" s="318">
        <v>560.94200000000001</v>
      </c>
      <c r="H1690" s="179" t="s">
        <v>322</v>
      </c>
      <c r="I1690" s="179" t="s">
        <v>2572</v>
      </c>
      <c r="J1690" s="179" t="s">
        <v>97</v>
      </c>
      <c r="K1690" s="127" t="s">
        <v>1903</v>
      </c>
      <c r="L1690" s="179" t="s">
        <v>154</v>
      </c>
      <c r="M1690"/>
      <c r="N1690"/>
    </row>
    <row r="1691" spans="1:14" ht="15.6" hidden="1">
      <c r="A1691" s="376">
        <v>45890</v>
      </c>
      <c r="B1691" s="179" t="s">
        <v>2555</v>
      </c>
      <c r="C1691" s="179" t="s">
        <v>173</v>
      </c>
      <c r="D1691" s="179" t="s">
        <v>442</v>
      </c>
      <c r="E1691" s="369">
        <v>1000</v>
      </c>
      <c r="F1691" s="317">
        <f t="shared" si="16"/>
        <v>1.7827155035636482</v>
      </c>
      <c r="G1691" s="318">
        <v>560.94200000000001</v>
      </c>
      <c r="H1691" s="179" t="s">
        <v>322</v>
      </c>
      <c r="I1691" s="179" t="s">
        <v>2572</v>
      </c>
      <c r="J1691" s="179" t="s">
        <v>97</v>
      </c>
      <c r="K1691" s="127" t="s">
        <v>1903</v>
      </c>
      <c r="L1691" s="179" t="s">
        <v>154</v>
      </c>
      <c r="M1691"/>
      <c r="N1691"/>
    </row>
    <row r="1692" spans="1:14" ht="15.6" hidden="1">
      <c r="A1692" s="376">
        <v>45890</v>
      </c>
      <c r="B1692" s="179" t="s">
        <v>2595</v>
      </c>
      <c r="C1692" s="179" t="s">
        <v>173</v>
      </c>
      <c r="D1692" s="179" t="s">
        <v>116</v>
      </c>
      <c r="E1692" s="332">
        <v>1000</v>
      </c>
      <c r="F1692" s="317">
        <f t="shared" si="16"/>
        <v>1.7827155035636482</v>
      </c>
      <c r="G1692" s="318">
        <v>560.94200000000001</v>
      </c>
      <c r="H1692" s="179" t="s">
        <v>189</v>
      </c>
      <c r="I1692" s="179" t="s">
        <v>2604</v>
      </c>
      <c r="J1692" s="179" t="s">
        <v>97</v>
      </c>
      <c r="K1692" s="127" t="s">
        <v>1903</v>
      </c>
      <c r="L1692" s="179" t="s">
        <v>154</v>
      </c>
      <c r="M1692"/>
      <c r="N1692"/>
    </row>
    <row r="1693" spans="1:14" ht="15.6" hidden="1">
      <c r="A1693" s="376">
        <v>45890</v>
      </c>
      <c r="B1693" s="179" t="s">
        <v>2596</v>
      </c>
      <c r="C1693" s="179" t="s">
        <v>312</v>
      </c>
      <c r="D1693" s="179" t="s">
        <v>116</v>
      </c>
      <c r="E1693" s="332">
        <v>7500</v>
      </c>
      <c r="F1693" s="317">
        <f t="shared" si="16"/>
        <v>13.370366276727362</v>
      </c>
      <c r="G1693" s="318">
        <v>560.94200000000001</v>
      </c>
      <c r="H1693" s="179" t="s">
        <v>189</v>
      </c>
      <c r="I1693" s="179" t="s">
        <v>2609</v>
      </c>
      <c r="J1693" s="179" t="s">
        <v>97</v>
      </c>
      <c r="K1693" s="127" t="s">
        <v>1903</v>
      </c>
      <c r="L1693" s="179" t="s">
        <v>154</v>
      </c>
      <c r="M1693"/>
      <c r="N1693"/>
    </row>
    <row r="1694" spans="1:14" ht="15.6" hidden="1">
      <c r="A1694" s="376">
        <v>45890</v>
      </c>
      <c r="B1694" s="179" t="s">
        <v>2594</v>
      </c>
      <c r="C1694" s="179" t="s">
        <v>173</v>
      </c>
      <c r="D1694" s="179" t="s">
        <v>116</v>
      </c>
      <c r="E1694" s="332">
        <v>1000</v>
      </c>
      <c r="F1694" s="317">
        <f t="shared" si="16"/>
        <v>1.7827155035636482</v>
      </c>
      <c r="G1694" s="318">
        <v>560.94200000000001</v>
      </c>
      <c r="H1694" s="179" t="s">
        <v>189</v>
      </c>
      <c r="I1694" s="179" t="s">
        <v>2604</v>
      </c>
      <c r="J1694" s="179" t="s">
        <v>97</v>
      </c>
      <c r="K1694" s="127" t="s">
        <v>1903</v>
      </c>
      <c r="L1694" s="179" t="s">
        <v>154</v>
      </c>
      <c r="M1694"/>
      <c r="N1694"/>
    </row>
    <row r="1695" spans="1:14" ht="15.6" hidden="1">
      <c r="A1695" s="376">
        <v>45890</v>
      </c>
      <c r="B1695" s="179" t="s">
        <v>2595</v>
      </c>
      <c r="C1695" s="179" t="s">
        <v>173</v>
      </c>
      <c r="D1695" s="179" t="s">
        <v>116</v>
      </c>
      <c r="E1695" s="332">
        <v>1000</v>
      </c>
      <c r="F1695" s="317">
        <f t="shared" si="16"/>
        <v>1.7827155035636482</v>
      </c>
      <c r="G1695" s="318">
        <v>560.94200000000001</v>
      </c>
      <c r="H1695" s="179" t="s">
        <v>189</v>
      </c>
      <c r="I1695" s="179" t="s">
        <v>2604</v>
      </c>
      <c r="J1695" s="179" t="s">
        <v>97</v>
      </c>
      <c r="K1695" s="127" t="s">
        <v>1903</v>
      </c>
      <c r="L1695" s="179" t="s">
        <v>154</v>
      </c>
      <c r="M1695"/>
      <c r="N1695"/>
    </row>
    <row r="1696" spans="1:14" ht="15.6" hidden="1">
      <c r="A1696" s="376">
        <v>45890</v>
      </c>
      <c r="B1696" s="179" t="s">
        <v>2597</v>
      </c>
      <c r="C1696" s="179" t="s">
        <v>312</v>
      </c>
      <c r="D1696" s="179" t="s">
        <v>116</v>
      </c>
      <c r="E1696" s="332">
        <v>7500</v>
      </c>
      <c r="F1696" s="317">
        <f t="shared" si="16"/>
        <v>13.370366276727362</v>
      </c>
      <c r="G1696" s="318">
        <v>560.94200000000001</v>
      </c>
      <c r="H1696" s="179" t="s">
        <v>189</v>
      </c>
      <c r="I1696" s="179" t="s">
        <v>2609</v>
      </c>
      <c r="J1696" s="179" t="s">
        <v>97</v>
      </c>
      <c r="K1696" s="127" t="s">
        <v>1903</v>
      </c>
      <c r="L1696" s="179" t="s">
        <v>154</v>
      </c>
      <c r="M1696"/>
      <c r="N1696"/>
    </row>
    <row r="1697" spans="1:14" ht="15.6" hidden="1">
      <c r="A1697" s="376">
        <v>45890</v>
      </c>
      <c r="B1697" s="179" t="s">
        <v>2598</v>
      </c>
      <c r="C1697" s="179" t="s">
        <v>173</v>
      </c>
      <c r="D1697" s="179" t="s">
        <v>116</v>
      </c>
      <c r="E1697" s="332">
        <v>1000</v>
      </c>
      <c r="F1697" s="317">
        <f t="shared" si="16"/>
        <v>1.7827155035636482</v>
      </c>
      <c r="G1697" s="318">
        <v>560.94200000000001</v>
      </c>
      <c r="H1697" s="179" t="s">
        <v>189</v>
      </c>
      <c r="I1697" s="179" t="s">
        <v>2604</v>
      </c>
      <c r="J1697" s="179" t="s">
        <v>97</v>
      </c>
      <c r="K1697" s="127" t="s">
        <v>1903</v>
      </c>
      <c r="L1697" s="179" t="s">
        <v>154</v>
      </c>
      <c r="M1697"/>
      <c r="N1697"/>
    </row>
    <row r="1698" spans="1:14" ht="15.6" hidden="1">
      <c r="A1698" s="376">
        <v>45890</v>
      </c>
      <c r="B1698" s="179" t="s">
        <v>2591</v>
      </c>
      <c r="C1698" s="179" t="s">
        <v>173</v>
      </c>
      <c r="D1698" s="179" t="s">
        <v>116</v>
      </c>
      <c r="E1698" s="332">
        <v>1000</v>
      </c>
      <c r="F1698" s="317">
        <f t="shared" si="16"/>
        <v>1.7827155035636482</v>
      </c>
      <c r="G1698" s="318">
        <v>560.94200000000001</v>
      </c>
      <c r="H1698" s="179" t="s">
        <v>189</v>
      </c>
      <c r="I1698" s="179" t="s">
        <v>2604</v>
      </c>
      <c r="J1698" s="179" t="s">
        <v>97</v>
      </c>
      <c r="K1698" s="127" t="s">
        <v>1903</v>
      </c>
      <c r="L1698" s="179" t="s">
        <v>154</v>
      </c>
      <c r="M1698"/>
      <c r="N1698"/>
    </row>
    <row r="1699" spans="1:14" ht="15.6" hidden="1">
      <c r="A1699" s="379">
        <v>45890</v>
      </c>
      <c r="B1699" s="179" t="s">
        <v>2628</v>
      </c>
      <c r="C1699" s="179" t="s">
        <v>176</v>
      </c>
      <c r="D1699" s="179" t="s">
        <v>116</v>
      </c>
      <c r="E1699" s="332">
        <v>30000</v>
      </c>
      <c r="F1699" s="317">
        <f t="shared" si="16"/>
        <v>53.481465106909447</v>
      </c>
      <c r="G1699" s="318">
        <v>560.94200000000001</v>
      </c>
      <c r="H1699" s="179" t="s">
        <v>192</v>
      </c>
      <c r="I1699" s="179" t="s">
        <v>2653</v>
      </c>
      <c r="J1699" s="179" t="s">
        <v>97</v>
      </c>
      <c r="K1699" s="127" t="s">
        <v>1903</v>
      </c>
      <c r="L1699" s="179" t="s">
        <v>154</v>
      </c>
      <c r="M1699"/>
      <c r="N1699"/>
    </row>
    <row r="1700" spans="1:14" ht="15.6" hidden="1">
      <c r="A1700" s="379">
        <v>45890</v>
      </c>
      <c r="B1700" s="179" t="s">
        <v>2629</v>
      </c>
      <c r="C1700" s="179" t="s">
        <v>173</v>
      </c>
      <c r="D1700" s="179" t="s">
        <v>116</v>
      </c>
      <c r="E1700" s="332">
        <v>500</v>
      </c>
      <c r="F1700" s="317">
        <f t="shared" si="16"/>
        <v>0.89135775178182408</v>
      </c>
      <c r="G1700" s="318">
        <v>560.94200000000001</v>
      </c>
      <c r="H1700" s="179" t="s">
        <v>192</v>
      </c>
      <c r="I1700" s="179" t="s">
        <v>2647</v>
      </c>
      <c r="J1700" s="179" t="s">
        <v>97</v>
      </c>
      <c r="K1700" s="127" t="s">
        <v>1903</v>
      </c>
      <c r="L1700" s="179" t="s">
        <v>154</v>
      </c>
      <c r="M1700"/>
      <c r="N1700"/>
    </row>
    <row r="1701" spans="1:14" ht="15.6" hidden="1">
      <c r="A1701" s="379">
        <v>45890</v>
      </c>
      <c r="B1701" s="179" t="s">
        <v>2630</v>
      </c>
      <c r="C1701" s="329" t="s">
        <v>173</v>
      </c>
      <c r="D1701" s="179" t="s">
        <v>116</v>
      </c>
      <c r="E1701" s="332">
        <v>5000</v>
      </c>
      <c r="F1701" s="317">
        <f t="shared" si="16"/>
        <v>8.9135775178182417</v>
      </c>
      <c r="G1701" s="318">
        <v>560.94200000000001</v>
      </c>
      <c r="H1701" s="179" t="s">
        <v>192</v>
      </c>
      <c r="I1701" s="179" t="s">
        <v>2654</v>
      </c>
      <c r="J1701" s="179" t="s">
        <v>97</v>
      </c>
      <c r="K1701" s="127" t="s">
        <v>1903</v>
      </c>
      <c r="L1701" s="179" t="s">
        <v>154</v>
      </c>
      <c r="M1701"/>
      <c r="N1701"/>
    </row>
    <row r="1702" spans="1:14" ht="15.6" hidden="1">
      <c r="A1702" s="379">
        <v>45890</v>
      </c>
      <c r="B1702" s="179" t="s">
        <v>2631</v>
      </c>
      <c r="C1702" s="179" t="s">
        <v>173</v>
      </c>
      <c r="D1702" s="179" t="s">
        <v>116</v>
      </c>
      <c r="E1702" s="332">
        <v>7000</v>
      </c>
      <c r="F1702" s="317">
        <f t="shared" si="16"/>
        <v>12.479008524945538</v>
      </c>
      <c r="G1702" s="318">
        <v>560.94200000000001</v>
      </c>
      <c r="H1702" s="179" t="s">
        <v>192</v>
      </c>
      <c r="I1702" s="179" t="s">
        <v>2655</v>
      </c>
      <c r="J1702" s="179" t="s">
        <v>97</v>
      </c>
      <c r="K1702" s="127" t="s">
        <v>1903</v>
      </c>
      <c r="L1702" s="179" t="s">
        <v>154</v>
      </c>
      <c r="M1702"/>
      <c r="N1702"/>
    </row>
    <row r="1703" spans="1:14" ht="15.6" hidden="1">
      <c r="A1703" s="379">
        <v>45890</v>
      </c>
      <c r="B1703" s="179" t="s">
        <v>2632</v>
      </c>
      <c r="C1703" s="179" t="s">
        <v>173</v>
      </c>
      <c r="D1703" s="179" t="s">
        <v>116</v>
      </c>
      <c r="E1703" s="332">
        <v>1000</v>
      </c>
      <c r="F1703" s="317">
        <f t="shared" si="16"/>
        <v>1.7827155035636482</v>
      </c>
      <c r="G1703" s="318">
        <v>560.94200000000001</v>
      </c>
      <c r="H1703" s="179" t="s">
        <v>192</v>
      </c>
      <c r="I1703" s="179" t="s">
        <v>2647</v>
      </c>
      <c r="J1703" s="179" t="s">
        <v>97</v>
      </c>
      <c r="K1703" s="127" t="s">
        <v>1903</v>
      </c>
      <c r="L1703" s="179" t="s">
        <v>154</v>
      </c>
      <c r="M1703"/>
      <c r="N1703"/>
    </row>
    <row r="1704" spans="1:14" ht="15.6" hidden="1">
      <c r="A1704" s="376">
        <v>45891</v>
      </c>
      <c r="B1704" s="179" t="s">
        <v>1070</v>
      </c>
      <c r="C1704" s="179" t="s">
        <v>173</v>
      </c>
      <c r="D1704" s="179" t="s">
        <v>116</v>
      </c>
      <c r="E1704" s="332">
        <v>8000</v>
      </c>
      <c r="F1704" s="317">
        <f t="shared" si="16"/>
        <v>14.261724028509185</v>
      </c>
      <c r="G1704" s="318">
        <v>560.94200000000001</v>
      </c>
      <c r="H1704" s="179" t="s">
        <v>189</v>
      </c>
      <c r="I1704" s="179" t="s">
        <v>2610</v>
      </c>
      <c r="J1704" s="179" t="s">
        <v>97</v>
      </c>
      <c r="K1704" s="127" t="s">
        <v>1903</v>
      </c>
      <c r="L1704" s="179" t="s">
        <v>154</v>
      </c>
      <c r="M1704"/>
      <c r="N1704"/>
    </row>
    <row r="1705" spans="1:14" ht="15.6" hidden="1">
      <c r="A1705" s="372">
        <v>45891</v>
      </c>
      <c r="B1705" s="396" t="s">
        <v>2100</v>
      </c>
      <c r="C1705" s="303" t="s">
        <v>173</v>
      </c>
      <c r="D1705" s="303" t="s">
        <v>118</v>
      </c>
      <c r="E1705" s="396">
        <v>1000</v>
      </c>
      <c r="F1705" s="317">
        <f t="shared" si="16"/>
        <v>1.7827155035636482</v>
      </c>
      <c r="G1705" s="318">
        <v>560.94200000000001</v>
      </c>
      <c r="H1705" s="403" t="s">
        <v>152</v>
      </c>
      <c r="I1705" s="404" t="s">
        <v>2425</v>
      </c>
      <c r="J1705" s="179" t="s">
        <v>97</v>
      </c>
      <c r="K1705" s="127" t="s">
        <v>1903</v>
      </c>
      <c r="L1705" s="179" t="s">
        <v>154</v>
      </c>
      <c r="M1705" s="390"/>
      <c r="N1705" s="390"/>
    </row>
    <row r="1706" spans="1:14" ht="15.6" hidden="1">
      <c r="A1706" s="372">
        <v>45891</v>
      </c>
      <c r="B1706" s="396" t="s">
        <v>2384</v>
      </c>
      <c r="C1706" s="303" t="s">
        <v>173</v>
      </c>
      <c r="D1706" s="303" t="s">
        <v>118</v>
      </c>
      <c r="E1706" s="396">
        <v>1000</v>
      </c>
      <c r="F1706" s="317">
        <f t="shared" si="16"/>
        <v>1.7827155035636482</v>
      </c>
      <c r="G1706" s="318">
        <v>560.94200000000001</v>
      </c>
      <c r="H1706" s="403" t="s">
        <v>152</v>
      </c>
      <c r="I1706" s="404" t="s">
        <v>2425</v>
      </c>
      <c r="J1706" s="179" t="s">
        <v>97</v>
      </c>
      <c r="K1706" s="127" t="s">
        <v>1903</v>
      </c>
      <c r="L1706" s="179" t="s">
        <v>154</v>
      </c>
      <c r="M1706" s="390"/>
      <c r="N1706" s="390"/>
    </row>
    <row r="1707" spans="1:14" ht="15.6" hidden="1">
      <c r="A1707" s="374">
        <v>45891</v>
      </c>
      <c r="B1707" s="395" t="s">
        <v>2401</v>
      </c>
      <c r="C1707" s="395" t="s">
        <v>173</v>
      </c>
      <c r="D1707" s="395" t="s">
        <v>116</v>
      </c>
      <c r="E1707" s="405">
        <v>500</v>
      </c>
      <c r="F1707" s="317">
        <f t="shared" ref="F1707:F1770" si="17">E1707/G1707</f>
        <v>0.89135775178182408</v>
      </c>
      <c r="G1707" s="318">
        <v>560.94200000000001</v>
      </c>
      <c r="H1707" s="174" t="s">
        <v>199</v>
      </c>
      <c r="I1707" s="395" t="s">
        <v>2423</v>
      </c>
      <c r="J1707" s="179" t="s">
        <v>97</v>
      </c>
      <c r="K1707" s="127" t="s">
        <v>1903</v>
      </c>
      <c r="L1707" s="179" t="s">
        <v>154</v>
      </c>
      <c r="M1707" s="390"/>
      <c r="N1707" s="390"/>
    </row>
    <row r="1708" spans="1:14" ht="15.6" hidden="1">
      <c r="A1708" s="374">
        <v>45891</v>
      </c>
      <c r="B1708" s="395" t="s">
        <v>2402</v>
      </c>
      <c r="C1708" s="395" t="s">
        <v>173</v>
      </c>
      <c r="D1708" s="395" t="s">
        <v>116</v>
      </c>
      <c r="E1708" s="405">
        <v>500</v>
      </c>
      <c r="F1708" s="317">
        <f t="shared" si="17"/>
        <v>0.89135775178182408</v>
      </c>
      <c r="G1708" s="318">
        <v>560.94200000000001</v>
      </c>
      <c r="H1708" s="174" t="s">
        <v>199</v>
      </c>
      <c r="I1708" s="395" t="s">
        <v>2423</v>
      </c>
      <c r="J1708" s="179" t="s">
        <v>97</v>
      </c>
      <c r="K1708" s="127" t="s">
        <v>1903</v>
      </c>
      <c r="L1708" s="179" t="s">
        <v>154</v>
      </c>
      <c r="M1708" s="390"/>
      <c r="N1708" s="390"/>
    </row>
    <row r="1709" spans="1:14" ht="15.6" hidden="1">
      <c r="A1709" s="374">
        <v>45891</v>
      </c>
      <c r="B1709" s="395" t="s">
        <v>2403</v>
      </c>
      <c r="C1709" s="395" t="s">
        <v>173</v>
      </c>
      <c r="D1709" s="395" t="s">
        <v>116</v>
      </c>
      <c r="E1709" s="405">
        <v>500</v>
      </c>
      <c r="F1709" s="317">
        <f t="shared" si="17"/>
        <v>0.89135775178182408</v>
      </c>
      <c r="G1709" s="318">
        <v>560.94200000000001</v>
      </c>
      <c r="H1709" s="174" t="s">
        <v>199</v>
      </c>
      <c r="I1709" s="395" t="s">
        <v>2423</v>
      </c>
      <c r="J1709" s="179" t="s">
        <v>97</v>
      </c>
      <c r="K1709" s="127" t="s">
        <v>1903</v>
      </c>
      <c r="L1709" s="179" t="s">
        <v>154</v>
      </c>
      <c r="M1709" s="390"/>
      <c r="N1709" s="390"/>
    </row>
    <row r="1710" spans="1:14" ht="15.6" hidden="1">
      <c r="A1710" s="378">
        <v>45891</v>
      </c>
      <c r="B1710" s="179" t="s">
        <v>2453</v>
      </c>
      <c r="C1710" s="179" t="s">
        <v>173</v>
      </c>
      <c r="D1710" s="179" t="s">
        <v>117</v>
      </c>
      <c r="E1710" s="332">
        <v>1000</v>
      </c>
      <c r="F1710" s="317">
        <f t="shared" si="17"/>
        <v>1.7827155035636482</v>
      </c>
      <c r="G1710" s="318">
        <v>560.94200000000001</v>
      </c>
      <c r="H1710" s="179" t="s">
        <v>583</v>
      </c>
      <c r="I1710" s="179" t="s">
        <v>2464</v>
      </c>
      <c r="J1710" s="179" t="s">
        <v>97</v>
      </c>
      <c r="K1710" s="127" t="s">
        <v>1903</v>
      </c>
      <c r="L1710" s="179" t="s">
        <v>154</v>
      </c>
      <c r="M1710" s="390"/>
      <c r="N1710" s="390"/>
    </row>
    <row r="1711" spans="1:14" ht="15.6" hidden="1">
      <c r="A1711" s="378">
        <v>45891</v>
      </c>
      <c r="B1711" s="179" t="s">
        <v>2454</v>
      </c>
      <c r="C1711" s="179" t="s">
        <v>173</v>
      </c>
      <c r="D1711" s="179" t="s">
        <v>117</v>
      </c>
      <c r="E1711" s="332">
        <v>1000</v>
      </c>
      <c r="F1711" s="317">
        <f t="shared" si="17"/>
        <v>1.7827155035636482</v>
      </c>
      <c r="G1711" s="318">
        <v>560.94200000000001</v>
      </c>
      <c r="H1711" s="179" t="s">
        <v>583</v>
      </c>
      <c r="I1711" s="179" t="s">
        <v>2464</v>
      </c>
      <c r="J1711" s="179" t="s">
        <v>97</v>
      </c>
      <c r="K1711" s="127" t="s">
        <v>1903</v>
      </c>
      <c r="L1711" s="179" t="s">
        <v>154</v>
      </c>
      <c r="M1711" s="390"/>
      <c r="N1711" s="390"/>
    </row>
    <row r="1712" spans="1:14" ht="15.6" hidden="1">
      <c r="A1712" s="378">
        <v>45891</v>
      </c>
      <c r="B1712" s="179" t="s">
        <v>2455</v>
      </c>
      <c r="C1712" s="179" t="s">
        <v>173</v>
      </c>
      <c r="D1712" s="179" t="s">
        <v>117</v>
      </c>
      <c r="E1712" s="332">
        <v>500</v>
      </c>
      <c r="F1712" s="317">
        <f t="shared" si="17"/>
        <v>0.89135775178182408</v>
      </c>
      <c r="G1712" s="318">
        <v>560.94200000000001</v>
      </c>
      <c r="H1712" s="179" t="s">
        <v>583</v>
      </c>
      <c r="I1712" s="179" t="s">
        <v>2464</v>
      </c>
      <c r="J1712" s="179" t="s">
        <v>97</v>
      </c>
      <c r="K1712" s="127" t="s">
        <v>1903</v>
      </c>
      <c r="L1712" s="179" t="s">
        <v>154</v>
      </c>
      <c r="M1712" s="390"/>
      <c r="N1712" s="390"/>
    </row>
    <row r="1713" spans="1:14" ht="15.6" hidden="1">
      <c r="A1713" s="378">
        <v>45891</v>
      </c>
      <c r="B1713" s="179" t="s">
        <v>2456</v>
      </c>
      <c r="C1713" s="179" t="s">
        <v>173</v>
      </c>
      <c r="D1713" s="179" t="s">
        <v>117</v>
      </c>
      <c r="E1713" s="332">
        <v>500</v>
      </c>
      <c r="F1713" s="317">
        <f t="shared" si="17"/>
        <v>0.89135775178182408</v>
      </c>
      <c r="G1713" s="318">
        <v>560.94200000000001</v>
      </c>
      <c r="H1713" s="179" t="s">
        <v>583</v>
      </c>
      <c r="I1713" s="179" t="s">
        <v>2464</v>
      </c>
      <c r="J1713" s="179" t="s">
        <v>97</v>
      </c>
      <c r="K1713" s="127" t="s">
        <v>1903</v>
      </c>
      <c r="L1713" s="179" t="s">
        <v>154</v>
      </c>
      <c r="M1713" s="390"/>
      <c r="N1713" s="390"/>
    </row>
    <row r="1714" spans="1:14" ht="15.6" hidden="1">
      <c r="A1714" s="378">
        <v>45891</v>
      </c>
      <c r="B1714" s="179" t="s">
        <v>2457</v>
      </c>
      <c r="C1714" s="179" t="s">
        <v>173</v>
      </c>
      <c r="D1714" s="179" t="s">
        <v>117</v>
      </c>
      <c r="E1714" s="332">
        <v>500</v>
      </c>
      <c r="F1714" s="317">
        <f t="shared" si="17"/>
        <v>0.89135775178182408</v>
      </c>
      <c r="G1714" s="318">
        <v>560.94200000000001</v>
      </c>
      <c r="H1714" s="179" t="s">
        <v>583</v>
      </c>
      <c r="I1714" s="179" t="s">
        <v>2464</v>
      </c>
      <c r="J1714" s="179" t="s">
        <v>97</v>
      </c>
      <c r="K1714" s="127" t="s">
        <v>1903</v>
      </c>
      <c r="L1714" s="179" t="s">
        <v>154</v>
      </c>
      <c r="M1714" s="390"/>
      <c r="N1714" s="390"/>
    </row>
    <row r="1715" spans="1:14" ht="15.6" hidden="1">
      <c r="A1715" s="381">
        <v>45891</v>
      </c>
      <c r="B1715" s="179" t="s">
        <v>2352</v>
      </c>
      <c r="C1715" s="179" t="s">
        <v>181</v>
      </c>
      <c r="D1715" s="179" t="s">
        <v>117</v>
      </c>
      <c r="E1715" s="332">
        <v>31890</v>
      </c>
      <c r="F1715" s="317">
        <f t="shared" si="17"/>
        <v>56.850797408644745</v>
      </c>
      <c r="G1715" s="318">
        <v>560.94200000000001</v>
      </c>
      <c r="H1715" s="179" t="s">
        <v>583</v>
      </c>
      <c r="I1715" s="179" t="s">
        <v>2353</v>
      </c>
      <c r="J1715" s="179" t="s">
        <v>97</v>
      </c>
      <c r="K1715" s="127" t="s">
        <v>1903</v>
      </c>
      <c r="L1715" s="179" t="s">
        <v>154</v>
      </c>
      <c r="M1715" s="390"/>
      <c r="N1715" s="390"/>
    </row>
    <row r="1716" spans="1:14" ht="15.6" hidden="1">
      <c r="A1716" s="241">
        <v>45891</v>
      </c>
      <c r="B1716" s="174" t="s">
        <v>3803</v>
      </c>
      <c r="C1716" s="174" t="s">
        <v>173</v>
      </c>
      <c r="D1716" s="179" t="s">
        <v>442</v>
      </c>
      <c r="E1716" s="174">
        <v>1000</v>
      </c>
      <c r="F1716" s="317">
        <f t="shared" si="17"/>
        <v>1.7827155035636482</v>
      </c>
      <c r="G1716" s="318">
        <v>560.94200000000001</v>
      </c>
      <c r="H1716" s="174" t="s">
        <v>183</v>
      </c>
      <c r="I1716" s="174" t="s">
        <v>2473</v>
      </c>
      <c r="J1716" s="179" t="s">
        <v>97</v>
      </c>
      <c r="K1716" s="127" t="s">
        <v>1903</v>
      </c>
      <c r="L1716" s="179" t="s">
        <v>154</v>
      </c>
      <c r="M1716"/>
      <c r="N1716"/>
    </row>
    <row r="1717" spans="1:14" ht="15.6" hidden="1">
      <c r="A1717" s="241">
        <v>45891</v>
      </c>
      <c r="B1717" s="174" t="s">
        <v>3786</v>
      </c>
      <c r="C1717" s="174" t="s">
        <v>173</v>
      </c>
      <c r="D1717" s="179" t="s">
        <v>442</v>
      </c>
      <c r="E1717" s="174">
        <v>1000</v>
      </c>
      <c r="F1717" s="317">
        <f t="shared" si="17"/>
        <v>1.7827155035636482</v>
      </c>
      <c r="G1717" s="318">
        <v>560.94200000000001</v>
      </c>
      <c r="H1717" s="174" t="s">
        <v>183</v>
      </c>
      <c r="I1717" s="174" t="s">
        <v>2473</v>
      </c>
      <c r="J1717" s="179" t="s">
        <v>97</v>
      </c>
      <c r="K1717" s="127" t="s">
        <v>1903</v>
      </c>
      <c r="L1717" s="179" t="s">
        <v>154</v>
      </c>
      <c r="M1717"/>
      <c r="N1717"/>
    </row>
    <row r="1718" spans="1:14" ht="15.6" hidden="1">
      <c r="A1718" s="241">
        <v>45891</v>
      </c>
      <c r="B1718" s="174" t="s">
        <v>3804</v>
      </c>
      <c r="C1718" s="174" t="s">
        <v>173</v>
      </c>
      <c r="D1718" s="179" t="s">
        <v>442</v>
      </c>
      <c r="E1718" s="174">
        <v>1000</v>
      </c>
      <c r="F1718" s="317">
        <f t="shared" si="17"/>
        <v>1.7827155035636482</v>
      </c>
      <c r="G1718" s="318">
        <v>560.94200000000001</v>
      </c>
      <c r="H1718" s="174" t="s">
        <v>183</v>
      </c>
      <c r="I1718" s="174" t="s">
        <v>2473</v>
      </c>
      <c r="J1718" s="179" t="s">
        <v>97</v>
      </c>
      <c r="K1718" s="127" t="s">
        <v>1903</v>
      </c>
      <c r="L1718" s="179" t="s">
        <v>154</v>
      </c>
      <c r="M1718"/>
      <c r="N1718"/>
    </row>
    <row r="1719" spans="1:14" ht="15.6" hidden="1">
      <c r="A1719" s="241">
        <v>45891</v>
      </c>
      <c r="B1719" s="174" t="s">
        <v>3787</v>
      </c>
      <c r="C1719" s="174" t="s">
        <v>173</v>
      </c>
      <c r="D1719" s="179" t="s">
        <v>442</v>
      </c>
      <c r="E1719" s="174">
        <v>1000</v>
      </c>
      <c r="F1719" s="317">
        <f t="shared" si="17"/>
        <v>1.7827155035636482</v>
      </c>
      <c r="G1719" s="318">
        <v>560.94200000000001</v>
      </c>
      <c r="H1719" s="174" t="s">
        <v>183</v>
      </c>
      <c r="I1719" s="174" t="s">
        <v>2473</v>
      </c>
      <c r="J1719" s="179" t="s">
        <v>97</v>
      </c>
      <c r="K1719" s="127" t="s">
        <v>1903</v>
      </c>
      <c r="L1719" s="179" t="s">
        <v>154</v>
      </c>
      <c r="M1719"/>
      <c r="N1719"/>
    </row>
    <row r="1720" spans="1:14" ht="15.6" hidden="1">
      <c r="A1720" s="241">
        <v>45891</v>
      </c>
      <c r="B1720" s="174" t="s">
        <v>3805</v>
      </c>
      <c r="C1720" s="174" t="s">
        <v>173</v>
      </c>
      <c r="D1720" s="179" t="s">
        <v>442</v>
      </c>
      <c r="E1720" s="174">
        <v>500</v>
      </c>
      <c r="F1720" s="317">
        <f t="shared" si="17"/>
        <v>0.89135775178182408</v>
      </c>
      <c r="G1720" s="318">
        <v>560.94200000000001</v>
      </c>
      <c r="H1720" s="174" t="s">
        <v>183</v>
      </c>
      <c r="I1720" s="174" t="s">
        <v>2473</v>
      </c>
      <c r="J1720" s="179" t="s">
        <v>97</v>
      </c>
      <c r="K1720" s="127" t="s">
        <v>1903</v>
      </c>
      <c r="L1720" s="179" t="s">
        <v>154</v>
      </c>
      <c r="M1720"/>
      <c r="N1720"/>
    </row>
    <row r="1721" spans="1:14" ht="15.6" hidden="1">
      <c r="A1721" s="241">
        <v>45891</v>
      </c>
      <c r="B1721" s="174" t="s">
        <v>3786</v>
      </c>
      <c r="C1721" s="174" t="s">
        <v>173</v>
      </c>
      <c r="D1721" s="179" t="s">
        <v>442</v>
      </c>
      <c r="E1721" s="174">
        <v>1000</v>
      </c>
      <c r="F1721" s="317">
        <f t="shared" si="17"/>
        <v>1.7827155035636482</v>
      </c>
      <c r="G1721" s="318">
        <v>560.94200000000001</v>
      </c>
      <c r="H1721" s="174" t="s">
        <v>183</v>
      </c>
      <c r="I1721" s="174" t="s">
        <v>2473</v>
      </c>
      <c r="J1721" s="179" t="s">
        <v>97</v>
      </c>
      <c r="K1721" s="127" t="s">
        <v>1903</v>
      </c>
      <c r="L1721" s="179" t="s">
        <v>154</v>
      </c>
      <c r="M1721"/>
      <c r="N1721"/>
    </row>
    <row r="1722" spans="1:14" ht="15.6" hidden="1">
      <c r="A1722" s="241">
        <v>45891</v>
      </c>
      <c r="B1722" s="174" t="s">
        <v>3805</v>
      </c>
      <c r="C1722" s="174" t="s">
        <v>173</v>
      </c>
      <c r="D1722" s="179" t="s">
        <v>442</v>
      </c>
      <c r="E1722" s="174">
        <v>500</v>
      </c>
      <c r="F1722" s="317">
        <f t="shared" si="17"/>
        <v>0.89135775178182408</v>
      </c>
      <c r="G1722" s="318">
        <v>560.94200000000001</v>
      </c>
      <c r="H1722" s="174" t="s">
        <v>183</v>
      </c>
      <c r="I1722" s="174" t="s">
        <v>2473</v>
      </c>
      <c r="J1722" s="179" t="s">
        <v>97</v>
      </c>
      <c r="K1722" s="127" t="s">
        <v>1903</v>
      </c>
      <c r="L1722" s="179" t="s">
        <v>154</v>
      </c>
      <c r="M1722"/>
      <c r="N1722"/>
    </row>
    <row r="1723" spans="1:14" ht="15.6" hidden="1">
      <c r="A1723" s="241">
        <v>45891</v>
      </c>
      <c r="B1723" s="174" t="s">
        <v>3786</v>
      </c>
      <c r="C1723" s="174" t="s">
        <v>173</v>
      </c>
      <c r="D1723" s="179" t="s">
        <v>442</v>
      </c>
      <c r="E1723" s="174">
        <v>1000</v>
      </c>
      <c r="F1723" s="317">
        <f t="shared" si="17"/>
        <v>1.7827155035636482</v>
      </c>
      <c r="G1723" s="318">
        <v>560.94200000000001</v>
      </c>
      <c r="H1723" s="174" t="s">
        <v>183</v>
      </c>
      <c r="I1723" s="174" t="s">
        <v>2473</v>
      </c>
      <c r="J1723" s="179" t="s">
        <v>97</v>
      </c>
      <c r="K1723" s="127" t="s">
        <v>1903</v>
      </c>
      <c r="L1723" s="179" t="s">
        <v>154</v>
      </c>
      <c r="M1723"/>
      <c r="N1723"/>
    </row>
    <row r="1724" spans="1:14" ht="15.6" hidden="1">
      <c r="A1724" s="379">
        <v>45891</v>
      </c>
      <c r="B1724" s="179" t="s">
        <v>3788</v>
      </c>
      <c r="C1724" s="179" t="s">
        <v>173</v>
      </c>
      <c r="D1724" s="179" t="s">
        <v>442</v>
      </c>
      <c r="E1724" s="179">
        <v>500</v>
      </c>
      <c r="F1724" s="317">
        <f t="shared" si="17"/>
        <v>0.89135775178182408</v>
      </c>
      <c r="G1724" s="318">
        <v>560.94200000000001</v>
      </c>
      <c r="H1724" s="179" t="s">
        <v>174</v>
      </c>
      <c r="I1724" s="179" t="s">
        <v>2494</v>
      </c>
      <c r="J1724" s="179" t="s">
        <v>97</v>
      </c>
      <c r="K1724" s="127" t="s">
        <v>1903</v>
      </c>
      <c r="L1724" s="179" t="s">
        <v>154</v>
      </c>
      <c r="M1724"/>
      <c r="N1724"/>
    </row>
    <row r="1725" spans="1:14" ht="15.6" hidden="1">
      <c r="A1725" s="379">
        <v>45891</v>
      </c>
      <c r="B1725" s="179" t="s">
        <v>3902</v>
      </c>
      <c r="C1725" s="179" t="s">
        <v>173</v>
      </c>
      <c r="D1725" s="179" t="s">
        <v>442</v>
      </c>
      <c r="E1725" s="179">
        <v>500</v>
      </c>
      <c r="F1725" s="317">
        <f t="shared" si="17"/>
        <v>0.89135775178182408</v>
      </c>
      <c r="G1725" s="318">
        <v>560.94200000000001</v>
      </c>
      <c r="H1725" s="179" t="s">
        <v>174</v>
      </c>
      <c r="I1725" s="179" t="s">
        <v>2494</v>
      </c>
      <c r="J1725" s="179" t="s">
        <v>97</v>
      </c>
      <c r="K1725" s="127" t="s">
        <v>1903</v>
      </c>
      <c r="L1725" s="179" t="s">
        <v>154</v>
      </c>
      <c r="M1725"/>
      <c r="N1725"/>
    </row>
    <row r="1726" spans="1:14" ht="15.6" hidden="1">
      <c r="A1726" s="376">
        <v>45891</v>
      </c>
      <c r="B1726" s="179" t="s">
        <v>3716</v>
      </c>
      <c r="C1726" s="179" t="s">
        <v>173</v>
      </c>
      <c r="D1726" s="179" t="s">
        <v>442</v>
      </c>
      <c r="E1726" s="179">
        <v>500</v>
      </c>
      <c r="F1726" s="317">
        <f t="shared" si="17"/>
        <v>0.89135775178182408</v>
      </c>
      <c r="G1726" s="318">
        <v>560.94200000000001</v>
      </c>
      <c r="H1726" s="179" t="s">
        <v>316</v>
      </c>
      <c r="I1726" s="179" t="s">
        <v>2523</v>
      </c>
      <c r="J1726" s="179" t="s">
        <v>97</v>
      </c>
      <c r="K1726" s="127" t="s">
        <v>1903</v>
      </c>
      <c r="L1726" s="179" t="s">
        <v>154</v>
      </c>
      <c r="M1726"/>
      <c r="N1726"/>
    </row>
    <row r="1727" spans="1:14" ht="15.6" hidden="1">
      <c r="A1727" s="376">
        <v>45891</v>
      </c>
      <c r="B1727" s="179" t="s">
        <v>3723</v>
      </c>
      <c r="C1727" s="179" t="s">
        <v>173</v>
      </c>
      <c r="D1727" s="179" t="s">
        <v>442</v>
      </c>
      <c r="E1727" s="179">
        <v>500</v>
      </c>
      <c r="F1727" s="317">
        <f t="shared" si="17"/>
        <v>0.89135775178182408</v>
      </c>
      <c r="G1727" s="318">
        <v>560.94200000000001</v>
      </c>
      <c r="H1727" s="179" t="s">
        <v>316</v>
      </c>
      <c r="I1727" s="179" t="s">
        <v>2523</v>
      </c>
      <c r="J1727" s="179" t="s">
        <v>97</v>
      </c>
      <c r="K1727" s="127" t="s">
        <v>1903</v>
      </c>
      <c r="L1727" s="179" t="s">
        <v>154</v>
      </c>
      <c r="M1727"/>
      <c r="N1727"/>
    </row>
    <row r="1728" spans="1:14" ht="15.6" hidden="1">
      <c r="A1728" s="376">
        <v>45891</v>
      </c>
      <c r="B1728" s="179" t="s">
        <v>2519</v>
      </c>
      <c r="C1728" s="179" t="s">
        <v>365</v>
      </c>
      <c r="D1728" s="179" t="s">
        <v>442</v>
      </c>
      <c r="E1728" s="179">
        <v>2000</v>
      </c>
      <c r="F1728" s="317">
        <f t="shared" si="17"/>
        <v>3.5654310071272963</v>
      </c>
      <c r="G1728" s="318">
        <v>560.94200000000001</v>
      </c>
      <c r="H1728" s="179" t="s">
        <v>316</v>
      </c>
      <c r="I1728" s="179" t="s">
        <v>2528</v>
      </c>
      <c r="J1728" s="179" t="s">
        <v>97</v>
      </c>
      <c r="K1728" s="127" t="s">
        <v>1903</v>
      </c>
      <c r="L1728" s="179" t="s">
        <v>154</v>
      </c>
      <c r="M1728"/>
      <c r="N1728"/>
    </row>
    <row r="1729" spans="1:14" ht="15.6" hidden="1">
      <c r="A1729" s="376">
        <v>45891</v>
      </c>
      <c r="B1729" s="179" t="s">
        <v>3716</v>
      </c>
      <c r="C1729" s="179" t="s">
        <v>173</v>
      </c>
      <c r="D1729" s="179" t="s">
        <v>442</v>
      </c>
      <c r="E1729" s="179">
        <v>500</v>
      </c>
      <c r="F1729" s="317">
        <f t="shared" si="17"/>
        <v>0.89135775178182408</v>
      </c>
      <c r="G1729" s="318">
        <v>560.94200000000001</v>
      </c>
      <c r="H1729" s="179" t="s">
        <v>316</v>
      </c>
      <c r="I1729" s="179" t="s">
        <v>2523</v>
      </c>
      <c r="J1729" s="179" t="s">
        <v>97</v>
      </c>
      <c r="K1729" s="127" t="s">
        <v>1903</v>
      </c>
      <c r="L1729" s="179" t="s">
        <v>154</v>
      </c>
      <c r="M1729"/>
      <c r="N1729"/>
    </row>
    <row r="1730" spans="1:14" ht="15.6" hidden="1">
      <c r="A1730" s="376">
        <v>45891</v>
      </c>
      <c r="B1730" s="179" t="s">
        <v>3715</v>
      </c>
      <c r="C1730" s="179" t="s">
        <v>173</v>
      </c>
      <c r="D1730" s="179" t="s">
        <v>442</v>
      </c>
      <c r="E1730" s="179">
        <v>500</v>
      </c>
      <c r="F1730" s="317">
        <f t="shared" si="17"/>
        <v>0.89135775178182408</v>
      </c>
      <c r="G1730" s="318">
        <v>560.94200000000001</v>
      </c>
      <c r="H1730" s="179" t="s">
        <v>316</v>
      </c>
      <c r="I1730" s="179" t="s">
        <v>2523</v>
      </c>
      <c r="J1730" s="179" t="s">
        <v>97</v>
      </c>
      <c r="K1730" s="127" t="s">
        <v>1903</v>
      </c>
      <c r="L1730" s="179" t="s">
        <v>154</v>
      </c>
      <c r="M1730"/>
      <c r="N1730"/>
    </row>
    <row r="1731" spans="1:14" ht="15.6" hidden="1">
      <c r="A1731" s="376">
        <v>45891</v>
      </c>
      <c r="B1731" s="179" t="s">
        <v>3724</v>
      </c>
      <c r="C1731" s="179" t="s">
        <v>173</v>
      </c>
      <c r="D1731" s="179" t="s">
        <v>442</v>
      </c>
      <c r="E1731" s="179">
        <v>500</v>
      </c>
      <c r="F1731" s="317">
        <f t="shared" si="17"/>
        <v>0.89135775178182408</v>
      </c>
      <c r="G1731" s="318">
        <v>560.94200000000001</v>
      </c>
      <c r="H1731" s="179" t="s">
        <v>316</v>
      </c>
      <c r="I1731" s="179" t="s">
        <v>2523</v>
      </c>
      <c r="J1731" s="179" t="s">
        <v>97</v>
      </c>
      <c r="K1731" s="127" t="s">
        <v>1903</v>
      </c>
      <c r="L1731" s="179" t="s">
        <v>154</v>
      </c>
      <c r="M1731"/>
      <c r="N1731"/>
    </row>
    <row r="1732" spans="1:14" ht="15.6" hidden="1">
      <c r="A1732" s="376">
        <v>45891</v>
      </c>
      <c r="B1732" s="179" t="s">
        <v>2556</v>
      </c>
      <c r="C1732" s="179" t="s">
        <v>173</v>
      </c>
      <c r="D1732" s="179" t="s">
        <v>442</v>
      </c>
      <c r="E1732" s="369">
        <v>1000</v>
      </c>
      <c r="F1732" s="317">
        <f t="shared" si="17"/>
        <v>1.7827155035636482</v>
      </c>
      <c r="G1732" s="318">
        <v>560.94200000000001</v>
      </c>
      <c r="H1732" s="179" t="s">
        <v>322</v>
      </c>
      <c r="I1732" s="179" t="s">
        <v>2572</v>
      </c>
      <c r="J1732" s="179" t="s">
        <v>97</v>
      </c>
      <c r="K1732" s="127" t="s">
        <v>1903</v>
      </c>
      <c r="L1732" s="179" t="s">
        <v>154</v>
      </c>
      <c r="M1732"/>
      <c r="N1732"/>
    </row>
    <row r="1733" spans="1:14" ht="15.6" hidden="1">
      <c r="A1733" s="376">
        <v>45891</v>
      </c>
      <c r="B1733" s="179" t="s">
        <v>3682</v>
      </c>
      <c r="C1733" s="179" t="s">
        <v>173</v>
      </c>
      <c r="D1733" s="179" t="s">
        <v>442</v>
      </c>
      <c r="E1733" s="369">
        <v>3000</v>
      </c>
      <c r="F1733" s="317">
        <f t="shared" si="17"/>
        <v>5.3481465106909445</v>
      </c>
      <c r="G1733" s="318">
        <v>560.94200000000001</v>
      </c>
      <c r="H1733" s="179" t="s">
        <v>322</v>
      </c>
      <c r="I1733" s="179" t="s">
        <v>2578</v>
      </c>
      <c r="J1733" s="179" t="s">
        <v>97</v>
      </c>
      <c r="K1733" s="127" t="s">
        <v>1903</v>
      </c>
      <c r="L1733" s="179" t="s">
        <v>154</v>
      </c>
      <c r="M1733"/>
      <c r="N1733"/>
    </row>
    <row r="1734" spans="1:14" ht="15.6" hidden="1">
      <c r="A1734" s="376">
        <v>45891</v>
      </c>
      <c r="B1734" s="179" t="s">
        <v>2557</v>
      </c>
      <c r="C1734" s="179" t="s">
        <v>173</v>
      </c>
      <c r="D1734" s="179" t="s">
        <v>442</v>
      </c>
      <c r="E1734" s="369">
        <v>500</v>
      </c>
      <c r="F1734" s="317">
        <f t="shared" si="17"/>
        <v>0.89135775178182408</v>
      </c>
      <c r="G1734" s="318">
        <v>560.94200000000001</v>
      </c>
      <c r="H1734" s="179" t="s">
        <v>322</v>
      </c>
      <c r="I1734" s="179" t="s">
        <v>2572</v>
      </c>
      <c r="J1734" s="179" t="s">
        <v>97</v>
      </c>
      <c r="K1734" s="127" t="s">
        <v>1903</v>
      </c>
      <c r="L1734" s="179" t="s">
        <v>154</v>
      </c>
      <c r="M1734"/>
      <c r="N1734"/>
    </row>
    <row r="1735" spans="1:14" ht="15.6" hidden="1">
      <c r="A1735" s="376">
        <v>45891</v>
      </c>
      <c r="B1735" s="179" t="s">
        <v>2558</v>
      </c>
      <c r="C1735" s="179" t="s">
        <v>173</v>
      </c>
      <c r="D1735" s="179" t="s">
        <v>442</v>
      </c>
      <c r="E1735" s="369">
        <v>500</v>
      </c>
      <c r="F1735" s="317">
        <f t="shared" si="17"/>
        <v>0.89135775178182408</v>
      </c>
      <c r="G1735" s="318">
        <v>560.94200000000001</v>
      </c>
      <c r="H1735" s="179" t="s">
        <v>322</v>
      </c>
      <c r="I1735" s="179" t="s">
        <v>2572</v>
      </c>
      <c r="J1735" s="179" t="s">
        <v>97</v>
      </c>
      <c r="K1735" s="127" t="s">
        <v>1903</v>
      </c>
      <c r="L1735" s="179" t="s">
        <v>154</v>
      </c>
      <c r="M1735"/>
      <c r="N1735"/>
    </row>
    <row r="1736" spans="1:14" ht="15.6" hidden="1">
      <c r="A1736" s="376">
        <v>45891</v>
      </c>
      <c r="B1736" s="179" t="s">
        <v>2551</v>
      </c>
      <c r="C1736" s="179" t="s">
        <v>368</v>
      </c>
      <c r="D1736" s="179" t="s">
        <v>442</v>
      </c>
      <c r="E1736" s="369">
        <v>1000</v>
      </c>
      <c r="F1736" s="317">
        <f t="shared" si="17"/>
        <v>1.7827155035636482</v>
      </c>
      <c r="G1736" s="318">
        <v>560.94200000000001</v>
      </c>
      <c r="H1736" s="179" t="s">
        <v>322</v>
      </c>
      <c r="I1736" s="179" t="s">
        <v>2577</v>
      </c>
      <c r="J1736" s="179" t="s">
        <v>97</v>
      </c>
      <c r="K1736" s="127" t="s">
        <v>1903</v>
      </c>
      <c r="L1736" s="179" t="s">
        <v>154</v>
      </c>
      <c r="M1736"/>
      <c r="N1736"/>
    </row>
    <row r="1737" spans="1:14" ht="15.6" hidden="1">
      <c r="A1737" s="376">
        <v>45891</v>
      </c>
      <c r="B1737" s="179" t="s">
        <v>2559</v>
      </c>
      <c r="C1737" s="179" t="s">
        <v>173</v>
      </c>
      <c r="D1737" s="179" t="s">
        <v>442</v>
      </c>
      <c r="E1737" s="369">
        <v>500</v>
      </c>
      <c r="F1737" s="317">
        <f t="shared" si="17"/>
        <v>0.89135775178182408</v>
      </c>
      <c r="G1737" s="318">
        <v>560.94200000000001</v>
      </c>
      <c r="H1737" s="179" t="s">
        <v>322</v>
      </c>
      <c r="I1737" s="179" t="s">
        <v>2572</v>
      </c>
      <c r="J1737" s="179" t="s">
        <v>97</v>
      </c>
      <c r="K1737" s="127" t="s">
        <v>1903</v>
      </c>
      <c r="L1737" s="179" t="s">
        <v>154</v>
      </c>
      <c r="M1737"/>
      <c r="N1737"/>
    </row>
    <row r="1738" spans="1:14" ht="15.6" hidden="1">
      <c r="A1738" s="376">
        <v>45891</v>
      </c>
      <c r="B1738" s="179" t="s">
        <v>3683</v>
      </c>
      <c r="C1738" s="179" t="s">
        <v>173</v>
      </c>
      <c r="D1738" s="179" t="s">
        <v>442</v>
      </c>
      <c r="E1738" s="369">
        <v>3000</v>
      </c>
      <c r="F1738" s="317">
        <f t="shared" si="17"/>
        <v>5.3481465106909445</v>
      </c>
      <c r="G1738" s="318">
        <v>560.94200000000001</v>
      </c>
      <c r="H1738" s="179" t="s">
        <v>322</v>
      </c>
      <c r="I1738" s="179" t="s">
        <v>2579</v>
      </c>
      <c r="J1738" s="179" t="s">
        <v>97</v>
      </c>
      <c r="K1738" s="127" t="s">
        <v>1903</v>
      </c>
      <c r="L1738" s="179" t="s">
        <v>154</v>
      </c>
      <c r="M1738"/>
      <c r="N1738"/>
    </row>
    <row r="1739" spans="1:14" ht="15.6" hidden="1">
      <c r="A1739" s="376">
        <v>45891</v>
      </c>
      <c r="B1739" s="179" t="s">
        <v>2560</v>
      </c>
      <c r="C1739" s="179" t="s">
        <v>173</v>
      </c>
      <c r="D1739" s="179" t="s">
        <v>442</v>
      </c>
      <c r="E1739" s="369">
        <v>500</v>
      </c>
      <c r="F1739" s="317">
        <f t="shared" si="17"/>
        <v>0.89135775178182408</v>
      </c>
      <c r="G1739" s="318">
        <v>560.94200000000001</v>
      </c>
      <c r="H1739" s="179" t="s">
        <v>322</v>
      </c>
      <c r="I1739" s="179" t="s">
        <v>2572</v>
      </c>
      <c r="J1739" s="179" t="s">
        <v>97</v>
      </c>
      <c r="K1739" s="127" t="s">
        <v>1903</v>
      </c>
      <c r="L1739" s="179" t="s">
        <v>154</v>
      </c>
      <c r="M1739"/>
      <c r="N1739"/>
    </row>
    <row r="1740" spans="1:14" ht="15.6" hidden="1">
      <c r="A1740" s="376">
        <v>45891</v>
      </c>
      <c r="B1740" s="179" t="s">
        <v>2599</v>
      </c>
      <c r="C1740" s="179" t="s">
        <v>2391</v>
      </c>
      <c r="D1740" s="401" t="s">
        <v>116</v>
      </c>
      <c r="E1740" s="332">
        <v>30000</v>
      </c>
      <c r="F1740" s="317">
        <f t="shared" si="17"/>
        <v>53.481465106909447</v>
      </c>
      <c r="G1740" s="318">
        <v>560.94200000000001</v>
      </c>
      <c r="H1740" s="179" t="s">
        <v>189</v>
      </c>
      <c r="I1740" s="179" t="s">
        <v>2611</v>
      </c>
      <c r="J1740" s="179" t="s">
        <v>97</v>
      </c>
      <c r="K1740" s="127" t="s">
        <v>1903</v>
      </c>
      <c r="L1740" s="179" t="s">
        <v>154</v>
      </c>
      <c r="M1740"/>
      <c r="N1740"/>
    </row>
    <row r="1741" spans="1:14" ht="15.6" hidden="1">
      <c r="A1741" s="376">
        <v>45891</v>
      </c>
      <c r="B1741" s="179" t="s">
        <v>2600</v>
      </c>
      <c r="C1741" s="179" t="s">
        <v>173</v>
      </c>
      <c r="D1741" s="401" t="s">
        <v>116</v>
      </c>
      <c r="E1741" s="332">
        <v>1000</v>
      </c>
      <c r="F1741" s="317">
        <f t="shared" si="17"/>
        <v>1.7827155035636482</v>
      </c>
      <c r="G1741" s="318">
        <v>560.94200000000001</v>
      </c>
      <c r="H1741" s="179" t="s">
        <v>189</v>
      </c>
      <c r="I1741" s="179" t="s">
        <v>2604</v>
      </c>
      <c r="J1741" s="179" t="s">
        <v>97</v>
      </c>
      <c r="K1741" s="127" t="s">
        <v>1903</v>
      </c>
      <c r="L1741" s="179" t="s">
        <v>154</v>
      </c>
      <c r="M1741"/>
      <c r="N1741"/>
    </row>
    <row r="1742" spans="1:14" ht="15.6" hidden="1">
      <c r="A1742" s="376">
        <v>45891</v>
      </c>
      <c r="B1742" s="179" t="s">
        <v>2601</v>
      </c>
      <c r="C1742" s="179" t="s">
        <v>173</v>
      </c>
      <c r="D1742" s="401" t="s">
        <v>116</v>
      </c>
      <c r="E1742" s="332">
        <v>2000</v>
      </c>
      <c r="F1742" s="317">
        <f t="shared" si="17"/>
        <v>3.5654310071272963</v>
      </c>
      <c r="G1742" s="318">
        <v>560.94200000000001</v>
      </c>
      <c r="H1742" s="179" t="s">
        <v>189</v>
      </c>
      <c r="I1742" s="179" t="s">
        <v>2604</v>
      </c>
      <c r="J1742" s="179" t="s">
        <v>97</v>
      </c>
      <c r="K1742" s="127" t="s">
        <v>1903</v>
      </c>
      <c r="L1742" s="179" t="s">
        <v>154</v>
      </c>
      <c r="M1742"/>
      <c r="N1742"/>
    </row>
    <row r="1743" spans="1:14" ht="15.6" hidden="1">
      <c r="A1743" s="381">
        <v>45891</v>
      </c>
      <c r="B1743" s="179" t="s">
        <v>2350</v>
      </c>
      <c r="C1743" s="179" t="s">
        <v>171</v>
      </c>
      <c r="D1743" s="401" t="s">
        <v>117</v>
      </c>
      <c r="E1743" s="332">
        <v>68500</v>
      </c>
      <c r="F1743" s="317">
        <f t="shared" si="17"/>
        <v>122.11601199410991</v>
      </c>
      <c r="G1743" s="318">
        <v>560.94200000000001</v>
      </c>
      <c r="H1743" s="179" t="s">
        <v>192</v>
      </c>
      <c r="I1743" s="179" t="s">
        <v>2351</v>
      </c>
      <c r="J1743" s="179" t="s">
        <v>97</v>
      </c>
      <c r="K1743" s="127" t="s">
        <v>1903</v>
      </c>
      <c r="L1743" s="179" t="s">
        <v>154</v>
      </c>
      <c r="M1743"/>
      <c r="N1743"/>
    </row>
    <row r="1744" spans="1:14" ht="15.6" hidden="1">
      <c r="A1744" s="375">
        <v>45891</v>
      </c>
      <c r="B1744" s="179" t="s">
        <v>2674</v>
      </c>
      <c r="C1744" s="396" t="s">
        <v>195</v>
      </c>
      <c r="D1744" s="407" t="s">
        <v>116</v>
      </c>
      <c r="E1744" s="369">
        <v>500</v>
      </c>
      <c r="F1744" s="317">
        <f t="shared" si="17"/>
        <v>0.89135775178182408</v>
      </c>
      <c r="G1744" s="318">
        <v>560.94200000000001</v>
      </c>
      <c r="H1744" s="256" t="s">
        <v>196</v>
      </c>
      <c r="I1744" s="179" t="s">
        <v>2707</v>
      </c>
      <c r="J1744" s="179" t="s">
        <v>97</v>
      </c>
      <c r="K1744" s="127" t="s">
        <v>1903</v>
      </c>
      <c r="L1744" s="179" t="s">
        <v>154</v>
      </c>
      <c r="M1744"/>
      <c r="N1744"/>
    </row>
    <row r="1745" spans="1:14" ht="15.6" hidden="1">
      <c r="A1745" s="375">
        <v>45891</v>
      </c>
      <c r="B1745" s="179" t="s">
        <v>2675</v>
      </c>
      <c r="C1745" s="396" t="s">
        <v>195</v>
      </c>
      <c r="D1745" s="407" t="s">
        <v>116</v>
      </c>
      <c r="E1745" s="369">
        <v>500</v>
      </c>
      <c r="F1745" s="317">
        <f t="shared" si="17"/>
        <v>0.89135775178182408</v>
      </c>
      <c r="G1745" s="318">
        <v>560.94200000000001</v>
      </c>
      <c r="H1745" s="256" t="s">
        <v>196</v>
      </c>
      <c r="I1745" s="179" t="s">
        <v>2707</v>
      </c>
      <c r="J1745" s="179" t="s">
        <v>97</v>
      </c>
      <c r="K1745" s="127" t="s">
        <v>1903</v>
      </c>
      <c r="L1745" s="179" t="s">
        <v>154</v>
      </c>
      <c r="M1745"/>
      <c r="N1745"/>
    </row>
    <row r="1746" spans="1:14" ht="15.6" hidden="1">
      <c r="A1746" s="375">
        <v>45891</v>
      </c>
      <c r="B1746" s="179" t="s">
        <v>2676</v>
      </c>
      <c r="C1746" s="396" t="s">
        <v>195</v>
      </c>
      <c r="D1746" s="407" t="s">
        <v>116</v>
      </c>
      <c r="E1746" s="369">
        <v>500</v>
      </c>
      <c r="F1746" s="317">
        <f t="shared" si="17"/>
        <v>0.89135775178182408</v>
      </c>
      <c r="G1746" s="318">
        <v>560.94200000000001</v>
      </c>
      <c r="H1746" s="256" t="s">
        <v>196</v>
      </c>
      <c r="I1746" s="179" t="s">
        <v>2707</v>
      </c>
      <c r="J1746" s="179" t="s">
        <v>97</v>
      </c>
      <c r="K1746" s="127" t="s">
        <v>1903</v>
      </c>
      <c r="L1746" s="179" t="s">
        <v>154</v>
      </c>
      <c r="M1746"/>
      <c r="N1746"/>
    </row>
    <row r="1747" spans="1:14" ht="15.6" hidden="1">
      <c r="A1747" s="376">
        <v>45891</v>
      </c>
      <c r="B1747" s="179" t="s">
        <v>2756</v>
      </c>
      <c r="C1747" s="179" t="s">
        <v>173</v>
      </c>
      <c r="D1747" s="401" t="s">
        <v>116</v>
      </c>
      <c r="E1747" s="179">
        <v>500</v>
      </c>
      <c r="F1747" s="317">
        <f t="shared" si="17"/>
        <v>0.89135775178182408</v>
      </c>
      <c r="G1747" s="318">
        <v>560.94200000000001</v>
      </c>
      <c r="H1747" s="179" t="s">
        <v>186</v>
      </c>
      <c r="I1747" s="179" t="s">
        <v>2759</v>
      </c>
      <c r="J1747" s="179" t="s">
        <v>97</v>
      </c>
      <c r="K1747" s="127" t="s">
        <v>1903</v>
      </c>
      <c r="L1747" s="179" t="s">
        <v>154</v>
      </c>
      <c r="M1747"/>
      <c r="N1747"/>
    </row>
    <row r="1748" spans="1:14" ht="15.6" hidden="1">
      <c r="A1748" s="376">
        <v>45891</v>
      </c>
      <c r="B1748" s="179" t="s">
        <v>2757</v>
      </c>
      <c r="C1748" s="179" t="s">
        <v>173</v>
      </c>
      <c r="D1748" s="401" t="s">
        <v>116</v>
      </c>
      <c r="E1748" s="179">
        <v>500</v>
      </c>
      <c r="F1748" s="317">
        <f t="shared" si="17"/>
        <v>0.89135775178182408</v>
      </c>
      <c r="G1748" s="318">
        <v>560.94200000000001</v>
      </c>
      <c r="H1748" s="179" t="s">
        <v>186</v>
      </c>
      <c r="I1748" s="179" t="s">
        <v>2759</v>
      </c>
      <c r="J1748" s="179" t="s">
        <v>97</v>
      </c>
      <c r="K1748" s="127" t="s">
        <v>1903</v>
      </c>
      <c r="L1748" s="179" t="s">
        <v>154</v>
      </c>
      <c r="M1748"/>
      <c r="N1748"/>
    </row>
    <row r="1749" spans="1:14" ht="15.6" hidden="1">
      <c r="A1749" s="385">
        <v>45891</v>
      </c>
      <c r="B1749" s="328" t="s">
        <v>2769</v>
      </c>
      <c r="C1749" s="336" t="s">
        <v>122</v>
      </c>
      <c r="D1749" s="400" t="s">
        <v>116</v>
      </c>
      <c r="E1749" s="332">
        <v>150000</v>
      </c>
      <c r="F1749" s="317">
        <f t="shared" si="17"/>
        <v>267.40732553454723</v>
      </c>
      <c r="G1749" s="318">
        <v>560.94200000000001</v>
      </c>
      <c r="H1749" s="179" t="s">
        <v>147</v>
      </c>
      <c r="I1749" s="179" t="s">
        <v>2787</v>
      </c>
      <c r="J1749" s="179" t="s">
        <v>97</v>
      </c>
      <c r="K1749" s="127" t="s">
        <v>1903</v>
      </c>
      <c r="L1749" s="179" t="s">
        <v>154</v>
      </c>
      <c r="M1749"/>
      <c r="N1749"/>
    </row>
    <row r="1750" spans="1:14" ht="15.6" hidden="1">
      <c r="A1750" s="372">
        <v>45892</v>
      </c>
      <c r="B1750" s="396" t="s">
        <v>2100</v>
      </c>
      <c r="C1750" s="303" t="s">
        <v>173</v>
      </c>
      <c r="D1750" s="408" t="s">
        <v>118</v>
      </c>
      <c r="E1750" s="396">
        <v>1000</v>
      </c>
      <c r="F1750" s="317">
        <f t="shared" si="17"/>
        <v>1.7827155035636482</v>
      </c>
      <c r="G1750" s="318">
        <v>560.94200000000001</v>
      </c>
      <c r="H1750" s="403" t="s">
        <v>152</v>
      </c>
      <c r="I1750" s="404" t="s">
        <v>2425</v>
      </c>
      <c r="J1750" s="179" t="s">
        <v>97</v>
      </c>
      <c r="K1750" s="127" t="s">
        <v>1903</v>
      </c>
      <c r="L1750" s="179" t="s">
        <v>154</v>
      </c>
      <c r="M1750" s="390"/>
      <c r="N1750" s="390"/>
    </row>
    <row r="1751" spans="1:14" ht="15.6" hidden="1">
      <c r="A1751" s="372">
        <v>45892</v>
      </c>
      <c r="B1751" s="396" t="s">
        <v>2101</v>
      </c>
      <c r="C1751" s="303" t="s">
        <v>173</v>
      </c>
      <c r="D1751" s="408" t="s">
        <v>118</v>
      </c>
      <c r="E1751" s="396">
        <v>1000</v>
      </c>
      <c r="F1751" s="317">
        <f t="shared" si="17"/>
        <v>1.7827155035636482</v>
      </c>
      <c r="G1751" s="318">
        <v>560.94200000000001</v>
      </c>
      <c r="H1751" s="403" t="s">
        <v>152</v>
      </c>
      <c r="I1751" s="404" t="s">
        <v>2425</v>
      </c>
      <c r="J1751" s="179" t="s">
        <v>97</v>
      </c>
      <c r="K1751" s="127" t="s">
        <v>1903</v>
      </c>
      <c r="L1751" s="179" t="s">
        <v>154</v>
      </c>
      <c r="M1751" s="390"/>
      <c r="N1751" s="390"/>
    </row>
    <row r="1752" spans="1:14" ht="15.6" hidden="1">
      <c r="A1752" s="374">
        <v>45892</v>
      </c>
      <c r="B1752" s="395" t="s">
        <v>2404</v>
      </c>
      <c r="C1752" s="395" t="s">
        <v>173</v>
      </c>
      <c r="D1752" s="397" t="s">
        <v>116</v>
      </c>
      <c r="E1752" s="405">
        <v>500</v>
      </c>
      <c r="F1752" s="317">
        <f t="shared" si="17"/>
        <v>0.89135775178182408</v>
      </c>
      <c r="G1752" s="318">
        <v>560.94200000000001</v>
      </c>
      <c r="H1752" s="174" t="s">
        <v>199</v>
      </c>
      <c r="I1752" s="395" t="s">
        <v>2423</v>
      </c>
      <c r="J1752" s="179" t="s">
        <v>97</v>
      </c>
      <c r="K1752" s="127" t="s">
        <v>1903</v>
      </c>
      <c r="L1752" s="179" t="s">
        <v>154</v>
      </c>
      <c r="M1752" s="390"/>
      <c r="N1752" s="390"/>
    </row>
    <row r="1753" spans="1:14" ht="15.6" hidden="1">
      <c r="A1753" s="374">
        <v>45892</v>
      </c>
      <c r="B1753" s="395" t="s">
        <v>2405</v>
      </c>
      <c r="C1753" s="395" t="s">
        <v>173</v>
      </c>
      <c r="D1753" s="397" t="s">
        <v>116</v>
      </c>
      <c r="E1753" s="405">
        <v>500</v>
      </c>
      <c r="F1753" s="317">
        <f t="shared" si="17"/>
        <v>0.89135775178182408</v>
      </c>
      <c r="G1753" s="318">
        <v>560.94200000000001</v>
      </c>
      <c r="H1753" s="174" t="s">
        <v>199</v>
      </c>
      <c r="I1753" s="395" t="s">
        <v>2423</v>
      </c>
      <c r="J1753" s="179" t="s">
        <v>97</v>
      </c>
      <c r="K1753" s="127" t="s">
        <v>1903</v>
      </c>
      <c r="L1753" s="179" t="s">
        <v>154</v>
      </c>
      <c r="M1753" s="390"/>
      <c r="N1753" s="390"/>
    </row>
    <row r="1754" spans="1:14" ht="15.6" hidden="1">
      <c r="A1754" s="374">
        <v>45892</v>
      </c>
      <c r="B1754" s="395" t="s">
        <v>2406</v>
      </c>
      <c r="C1754" s="395" t="s">
        <v>173</v>
      </c>
      <c r="D1754" s="397" t="s">
        <v>116</v>
      </c>
      <c r="E1754" s="405">
        <v>500</v>
      </c>
      <c r="F1754" s="317">
        <f t="shared" si="17"/>
        <v>0.89135775178182408</v>
      </c>
      <c r="G1754" s="318">
        <v>560.94200000000001</v>
      </c>
      <c r="H1754" s="174" t="s">
        <v>199</v>
      </c>
      <c r="I1754" s="395" t="s">
        <v>2423</v>
      </c>
      <c r="J1754" s="179" t="s">
        <v>97</v>
      </c>
      <c r="K1754" s="127" t="s">
        <v>1903</v>
      </c>
      <c r="L1754" s="179" t="s">
        <v>154</v>
      </c>
      <c r="M1754" s="390"/>
      <c r="N1754" s="390"/>
    </row>
    <row r="1755" spans="1:14" ht="15.6" hidden="1">
      <c r="A1755" s="374">
        <v>45892</v>
      </c>
      <c r="B1755" s="395" t="s">
        <v>2403</v>
      </c>
      <c r="C1755" s="395" t="s">
        <v>173</v>
      </c>
      <c r="D1755" s="397" t="s">
        <v>116</v>
      </c>
      <c r="E1755" s="405">
        <v>500</v>
      </c>
      <c r="F1755" s="317">
        <f t="shared" si="17"/>
        <v>0.89135775178182408</v>
      </c>
      <c r="G1755" s="318">
        <v>560.94200000000001</v>
      </c>
      <c r="H1755" s="174" t="s">
        <v>199</v>
      </c>
      <c r="I1755" s="395" t="s">
        <v>2423</v>
      </c>
      <c r="J1755" s="179" t="s">
        <v>97</v>
      </c>
      <c r="K1755" s="127" t="s">
        <v>1903</v>
      </c>
      <c r="L1755" s="179" t="s">
        <v>154</v>
      </c>
      <c r="M1755" s="390"/>
      <c r="N1755" s="390"/>
    </row>
    <row r="1756" spans="1:14" ht="15.6" hidden="1">
      <c r="A1756" s="241">
        <v>45892</v>
      </c>
      <c r="B1756" s="174" t="s">
        <v>2407</v>
      </c>
      <c r="C1756" s="174" t="s">
        <v>2391</v>
      </c>
      <c r="D1756" s="388" t="s">
        <v>116</v>
      </c>
      <c r="E1756" s="406">
        <v>105000</v>
      </c>
      <c r="F1756" s="317">
        <f t="shared" si="17"/>
        <v>187.18512787418308</v>
      </c>
      <c r="G1756" s="318">
        <v>560.94200000000001</v>
      </c>
      <c r="H1756" s="174" t="s">
        <v>199</v>
      </c>
      <c r="I1756" s="395" t="s">
        <v>2843</v>
      </c>
      <c r="J1756" s="179" t="s">
        <v>97</v>
      </c>
      <c r="K1756" s="127" t="s">
        <v>1903</v>
      </c>
      <c r="L1756" s="179" t="s">
        <v>154</v>
      </c>
      <c r="M1756" s="390"/>
      <c r="N1756" s="390"/>
    </row>
    <row r="1757" spans="1:14" ht="15.6" hidden="1">
      <c r="A1757" s="374">
        <v>45892</v>
      </c>
      <c r="B1757" s="395" t="s">
        <v>2408</v>
      </c>
      <c r="C1757" s="395" t="s">
        <v>173</v>
      </c>
      <c r="D1757" s="397" t="s">
        <v>116</v>
      </c>
      <c r="E1757" s="405">
        <v>500</v>
      </c>
      <c r="F1757" s="317">
        <f t="shared" si="17"/>
        <v>0.89135775178182408</v>
      </c>
      <c r="G1757" s="318">
        <v>560.94200000000001</v>
      </c>
      <c r="H1757" s="174" t="s">
        <v>199</v>
      </c>
      <c r="I1757" s="395" t="s">
        <v>2423</v>
      </c>
      <c r="J1757" s="179" t="s">
        <v>97</v>
      </c>
      <c r="K1757" s="127" t="s">
        <v>1903</v>
      </c>
      <c r="L1757" s="179" t="s">
        <v>154</v>
      </c>
      <c r="M1757" s="390"/>
      <c r="N1757" s="390"/>
    </row>
    <row r="1758" spans="1:14" ht="15.6" hidden="1">
      <c r="A1758" s="241">
        <v>45892</v>
      </c>
      <c r="B1758" s="174" t="s">
        <v>3786</v>
      </c>
      <c r="C1758" s="174" t="s">
        <v>173</v>
      </c>
      <c r="D1758" s="179" t="s">
        <v>442</v>
      </c>
      <c r="E1758" s="174">
        <v>1000</v>
      </c>
      <c r="F1758" s="317">
        <f t="shared" si="17"/>
        <v>1.7827155035636482</v>
      </c>
      <c r="G1758" s="318">
        <v>560.94200000000001</v>
      </c>
      <c r="H1758" s="174" t="s">
        <v>183</v>
      </c>
      <c r="I1758" s="174" t="s">
        <v>2473</v>
      </c>
      <c r="J1758" s="179" t="s">
        <v>97</v>
      </c>
      <c r="K1758" s="127" t="s">
        <v>1903</v>
      </c>
      <c r="L1758" s="179" t="s">
        <v>154</v>
      </c>
      <c r="M1758"/>
      <c r="N1758"/>
    </row>
    <row r="1759" spans="1:14" ht="15.6" hidden="1">
      <c r="A1759" s="241">
        <v>45892</v>
      </c>
      <c r="B1759" s="174" t="s">
        <v>3787</v>
      </c>
      <c r="C1759" s="174" t="s">
        <v>173</v>
      </c>
      <c r="D1759" s="179" t="s">
        <v>442</v>
      </c>
      <c r="E1759" s="174">
        <v>1000</v>
      </c>
      <c r="F1759" s="317">
        <f t="shared" si="17"/>
        <v>1.7827155035636482</v>
      </c>
      <c r="G1759" s="318">
        <v>560.94200000000001</v>
      </c>
      <c r="H1759" s="174" t="s">
        <v>183</v>
      </c>
      <c r="I1759" s="174" t="s">
        <v>2473</v>
      </c>
      <c r="J1759" s="179" t="s">
        <v>97</v>
      </c>
      <c r="K1759" s="127" t="s">
        <v>1903</v>
      </c>
      <c r="L1759" s="179" t="s">
        <v>154</v>
      </c>
      <c r="M1759"/>
      <c r="N1759"/>
    </row>
    <row r="1760" spans="1:14" ht="15.6" hidden="1">
      <c r="A1760" s="241">
        <v>45892</v>
      </c>
      <c r="B1760" s="174" t="s">
        <v>3805</v>
      </c>
      <c r="C1760" s="174" t="s">
        <v>173</v>
      </c>
      <c r="D1760" s="179" t="s">
        <v>442</v>
      </c>
      <c r="E1760" s="174">
        <v>500</v>
      </c>
      <c r="F1760" s="317">
        <f t="shared" si="17"/>
        <v>0.89135775178182408</v>
      </c>
      <c r="G1760" s="318">
        <v>560.94200000000001</v>
      </c>
      <c r="H1760" s="174" t="s">
        <v>183</v>
      </c>
      <c r="I1760" s="174" t="s">
        <v>2473</v>
      </c>
      <c r="J1760" s="179" t="s">
        <v>97</v>
      </c>
      <c r="K1760" s="127" t="s">
        <v>1903</v>
      </c>
      <c r="L1760" s="179" t="s">
        <v>154</v>
      </c>
      <c r="M1760"/>
      <c r="N1760"/>
    </row>
    <row r="1761" spans="1:14" ht="15.6" hidden="1">
      <c r="A1761" s="241">
        <v>45892</v>
      </c>
      <c r="B1761" s="174" t="s">
        <v>3786</v>
      </c>
      <c r="C1761" s="174" t="s">
        <v>173</v>
      </c>
      <c r="D1761" s="179" t="s">
        <v>442</v>
      </c>
      <c r="E1761" s="174">
        <v>1000</v>
      </c>
      <c r="F1761" s="317">
        <f t="shared" si="17"/>
        <v>1.7827155035636482</v>
      </c>
      <c r="G1761" s="318">
        <v>560.94200000000001</v>
      </c>
      <c r="H1761" s="174" t="s">
        <v>183</v>
      </c>
      <c r="I1761" s="174" t="s">
        <v>2473</v>
      </c>
      <c r="J1761" s="179" t="s">
        <v>97</v>
      </c>
      <c r="K1761" s="127" t="s">
        <v>1903</v>
      </c>
      <c r="L1761" s="179" t="s">
        <v>154</v>
      </c>
      <c r="M1761"/>
      <c r="N1761"/>
    </row>
    <row r="1762" spans="1:14" ht="15.6" hidden="1">
      <c r="A1762" s="241">
        <v>45892</v>
      </c>
      <c r="B1762" s="174" t="s">
        <v>3806</v>
      </c>
      <c r="C1762" s="174" t="s">
        <v>173</v>
      </c>
      <c r="D1762" s="179" t="s">
        <v>442</v>
      </c>
      <c r="E1762" s="174">
        <v>500</v>
      </c>
      <c r="F1762" s="317">
        <f t="shared" si="17"/>
        <v>0.89135775178182408</v>
      </c>
      <c r="G1762" s="318">
        <v>560.94200000000001</v>
      </c>
      <c r="H1762" s="174" t="s">
        <v>183</v>
      </c>
      <c r="I1762" s="174" t="s">
        <v>2473</v>
      </c>
      <c r="J1762" s="179" t="s">
        <v>97</v>
      </c>
      <c r="K1762" s="127" t="s">
        <v>1903</v>
      </c>
      <c r="L1762" s="179" t="s">
        <v>154</v>
      </c>
      <c r="M1762"/>
      <c r="N1762"/>
    </row>
    <row r="1763" spans="1:14" ht="15.6" hidden="1">
      <c r="A1763" s="241">
        <v>45892</v>
      </c>
      <c r="B1763" s="174" t="s">
        <v>3787</v>
      </c>
      <c r="C1763" s="174" t="s">
        <v>173</v>
      </c>
      <c r="D1763" s="179" t="s">
        <v>442</v>
      </c>
      <c r="E1763" s="174">
        <v>1000</v>
      </c>
      <c r="F1763" s="317">
        <f t="shared" si="17"/>
        <v>1.7827155035636482</v>
      </c>
      <c r="G1763" s="318">
        <v>560.94200000000001</v>
      </c>
      <c r="H1763" s="174" t="s">
        <v>183</v>
      </c>
      <c r="I1763" s="174" t="s">
        <v>2473</v>
      </c>
      <c r="J1763" s="179" t="s">
        <v>97</v>
      </c>
      <c r="K1763" s="127" t="s">
        <v>1903</v>
      </c>
      <c r="L1763" s="179" t="s">
        <v>154</v>
      </c>
      <c r="M1763"/>
      <c r="N1763"/>
    </row>
    <row r="1764" spans="1:14" ht="15.6" hidden="1">
      <c r="A1764" s="379">
        <v>45892</v>
      </c>
      <c r="B1764" s="179" t="s">
        <v>3902</v>
      </c>
      <c r="C1764" s="179" t="s">
        <v>173</v>
      </c>
      <c r="D1764" s="179" t="s">
        <v>442</v>
      </c>
      <c r="E1764" s="179">
        <v>500</v>
      </c>
      <c r="F1764" s="317">
        <f t="shared" si="17"/>
        <v>0.89135775178182408</v>
      </c>
      <c r="G1764" s="318">
        <v>560.94200000000001</v>
      </c>
      <c r="H1764" s="179" t="s">
        <v>174</v>
      </c>
      <c r="I1764" s="179" t="s">
        <v>2494</v>
      </c>
      <c r="J1764" s="179" t="s">
        <v>97</v>
      </c>
      <c r="K1764" s="127" t="s">
        <v>1903</v>
      </c>
      <c r="L1764" s="179" t="s">
        <v>154</v>
      </c>
      <c r="M1764"/>
      <c r="N1764"/>
    </row>
    <row r="1765" spans="1:14" ht="15.6" hidden="1">
      <c r="A1765" s="379">
        <v>45892</v>
      </c>
      <c r="B1765" s="179" t="s">
        <v>3788</v>
      </c>
      <c r="C1765" s="179" t="s">
        <v>173</v>
      </c>
      <c r="D1765" s="179" t="s">
        <v>442</v>
      </c>
      <c r="E1765" s="179">
        <v>500</v>
      </c>
      <c r="F1765" s="317">
        <f t="shared" si="17"/>
        <v>0.89135775178182408</v>
      </c>
      <c r="G1765" s="318">
        <v>560.94200000000001</v>
      </c>
      <c r="H1765" s="179" t="s">
        <v>174</v>
      </c>
      <c r="I1765" s="179" t="s">
        <v>2494</v>
      </c>
      <c r="J1765" s="179" t="s">
        <v>97</v>
      </c>
      <c r="K1765" s="127" t="s">
        <v>1903</v>
      </c>
      <c r="L1765" s="179" t="s">
        <v>154</v>
      </c>
      <c r="M1765"/>
      <c r="N1765"/>
    </row>
    <row r="1766" spans="1:14" ht="15.6" hidden="1">
      <c r="A1766" s="379">
        <v>45892</v>
      </c>
      <c r="B1766" s="179" t="s">
        <v>3902</v>
      </c>
      <c r="C1766" s="179" t="s">
        <v>173</v>
      </c>
      <c r="D1766" s="179" t="s">
        <v>442</v>
      </c>
      <c r="E1766" s="179">
        <v>500</v>
      </c>
      <c r="F1766" s="317">
        <f t="shared" si="17"/>
        <v>0.89135775178182408</v>
      </c>
      <c r="G1766" s="318">
        <v>560.94200000000001</v>
      </c>
      <c r="H1766" s="179" t="s">
        <v>174</v>
      </c>
      <c r="I1766" s="179" t="s">
        <v>2494</v>
      </c>
      <c r="J1766" s="179" t="s">
        <v>97</v>
      </c>
      <c r="K1766" s="127" t="s">
        <v>1903</v>
      </c>
      <c r="L1766" s="179" t="s">
        <v>154</v>
      </c>
      <c r="M1766"/>
      <c r="N1766"/>
    </row>
    <row r="1767" spans="1:14" ht="15.6" hidden="1">
      <c r="A1767" s="379">
        <v>45892</v>
      </c>
      <c r="B1767" s="179" t="s">
        <v>3902</v>
      </c>
      <c r="C1767" s="179" t="s">
        <v>173</v>
      </c>
      <c r="D1767" s="179" t="s">
        <v>442</v>
      </c>
      <c r="E1767" s="179">
        <v>500</v>
      </c>
      <c r="F1767" s="317">
        <f t="shared" si="17"/>
        <v>0.89135775178182408</v>
      </c>
      <c r="G1767" s="318">
        <v>560.94200000000001</v>
      </c>
      <c r="H1767" s="179" t="s">
        <v>174</v>
      </c>
      <c r="I1767" s="179" t="s">
        <v>2494</v>
      </c>
      <c r="J1767" s="179" t="s">
        <v>97</v>
      </c>
      <c r="K1767" s="127" t="s">
        <v>1903</v>
      </c>
      <c r="L1767" s="179" t="s">
        <v>154</v>
      </c>
      <c r="M1767"/>
      <c r="N1767"/>
    </row>
    <row r="1768" spans="1:14" ht="15.6" hidden="1">
      <c r="A1768" s="379">
        <v>45892</v>
      </c>
      <c r="B1768" s="179" t="s">
        <v>3726</v>
      </c>
      <c r="C1768" s="179" t="s">
        <v>173</v>
      </c>
      <c r="D1768" s="179" t="s">
        <v>442</v>
      </c>
      <c r="E1768" s="179">
        <v>500</v>
      </c>
      <c r="F1768" s="317">
        <f t="shared" si="17"/>
        <v>0.89135775178182408</v>
      </c>
      <c r="G1768" s="318">
        <v>560.94200000000001</v>
      </c>
      <c r="H1768" s="179" t="s">
        <v>174</v>
      </c>
      <c r="I1768" s="179" t="s">
        <v>2494</v>
      </c>
      <c r="J1768" s="179" t="s">
        <v>97</v>
      </c>
      <c r="K1768" s="127" t="s">
        <v>1903</v>
      </c>
      <c r="L1768" s="179" t="s">
        <v>154</v>
      </c>
      <c r="M1768"/>
      <c r="N1768"/>
    </row>
    <row r="1769" spans="1:14" ht="15.6" hidden="1">
      <c r="A1769" s="379">
        <v>45892</v>
      </c>
      <c r="B1769" s="179" t="s">
        <v>3867</v>
      </c>
      <c r="C1769" s="179" t="s">
        <v>2391</v>
      </c>
      <c r="D1769" s="179" t="s">
        <v>442</v>
      </c>
      <c r="E1769" s="179">
        <v>105000</v>
      </c>
      <c r="F1769" s="317">
        <f t="shared" si="17"/>
        <v>187.18512787418308</v>
      </c>
      <c r="G1769" s="318">
        <v>560.94200000000001</v>
      </c>
      <c r="H1769" s="179" t="s">
        <v>174</v>
      </c>
      <c r="I1769" s="179" t="s">
        <v>2504</v>
      </c>
      <c r="J1769" s="179" t="s">
        <v>97</v>
      </c>
      <c r="K1769" s="127" t="s">
        <v>1903</v>
      </c>
      <c r="L1769" s="179" t="s">
        <v>154</v>
      </c>
      <c r="M1769"/>
      <c r="N1769"/>
    </row>
    <row r="1770" spans="1:14" ht="15.6" hidden="1">
      <c r="A1770" s="376">
        <v>45892</v>
      </c>
      <c r="B1770" s="179" t="s">
        <v>3725</v>
      </c>
      <c r="C1770" s="179" t="s">
        <v>176</v>
      </c>
      <c r="D1770" s="179" t="s">
        <v>442</v>
      </c>
      <c r="E1770" s="179">
        <v>30000</v>
      </c>
      <c r="F1770" s="317">
        <f t="shared" si="17"/>
        <v>53.481465106909447</v>
      </c>
      <c r="G1770" s="318">
        <v>560.94200000000001</v>
      </c>
      <c r="H1770" s="179" t="s">
        <v>316</v>
      </c>
      <c r="I1770" s="179" t="s">
        <v>2531</v>
      </c>
      <c r="J1770" s="179" t="s">
        <v>97</v>
      </c>
      <c r="K1770" s="127" t="s">
        <v>1903</v>
      </c>
      <c r="L1770" s="179" t="s">
        <v>154</v>
      </c>
      <c r="M1770"/>
      <c r="N1770"/>
    </row>
    <row r="1771" spans="1:14" ht="15.6" hidden="1">
      <c r="A1771" s="376">
        <v>45892</v>
      </c>
      <c r="B1771" s="179" t="s">
        <v>3726</v>
      </c>
      <c r="C1771" s="179" t="s">
        <v>173</v>
      </c>
      <c r="D1771" s="179" t="s">
        <v>442</v>
      </c>
      <c r="E1771" s="179">
        <v>500</v>
      </c>
      <c r="F1771" s="317">
        <f t="shared" ref="F1771:F1834" si="18">E1771/G1771</f>
        <v>0.89135775178182408</v>
      </c>
      <c r="G1771" s="318">
        <v>560.94200000000001</v>
      </c>
      <c r="H1771" s="179" t="s">
        <v>316</v>
      </c>
      <c r="I1771" s="179" t="s">
        <v>2523</v>
      </c>
      <c r="J1771" s="179" t="s">
        <v>97</v>
      </c>
      <c r="K1771" s="127" t="s">
        <v>1903</v>
      </c>
      <c r="L1771" s="179" t="s">
        <v>154</v>
      </c>
      <c r="M1771"/>
      <c r="N1771"/>
    </row>
    <row r="1772" spans="1:14" ht="15.6" hidden="1">
      <c r="A1772" s="376">
        <v>45892</v>
      </c>
      <c r="B1772" s="179" t="s">
        <v>3694</v>
      </c>
      <c r="C1772" s="179" t="s">
        <v>173</v>
      </c>
      <c r="D1772" s="179" t="s">
        <v>442</v>
      </c>
      <c r="E1772" s="179">
        <v>5000</v>
      </c>
      <c r="F1772" s="317">
        <f t="shared" si="18"/>
        <v>8.9135775178182417</v>
      </c>
      <c r="G1772" s="318">
        <v>560.94200000000001</v>
      </c>
      <c r="H1772" s="179" t="s">
        <v>316</v>
      </c>
      <c r="I1772" s="179" t="s">
        <v>2532</v>
      </c>
      <c r="J1772" s="179" t="s">
        <v>97</v>
      </c>
      <c r="K1772" s="127" t="s">
        <v>1903</v>
      </c>
      <c r="L1772" s="179" t="s">
        <v>154</v>
      </c>
      <c r="M1772"/>
      <c r="N1772"/>
    </row>
    <row r="1773" spans="1:14" ht="15.6" hidden="1">
      <c r="A1773" s="376">
        <v>45892</v>
      </c>
      <c r="B1773" s="179" t="s">
        <v>3726</v>
      </c>
      <c r="C1773" s="179" t="s">
        <v>173</v>
      </c>
      <c r="D1773" s="179" t="s">
        <v>442</v>
      </c>
      <c r="E1773" s="179">
        <v>500</v>
      </c>
      <c r="F1773" s="317">
        <f t="shared" si="18"/>
        <v>0.89135775178182408</v>
      </c>
      <c r="G1773" s="318">
        <v>560.94200000000001</v>
      </c>
      <c r="H1773" s="179" t="s">
        <v>316</v>
      </c>
      <c r="I1773" s="179" t="s">
        <v>2523</v>
      </c>
      <c r="J1773" s="179" t="s">
        <v>97</v>
      </c>
      <c r="K1773" s="127" t="s">
        <v>1903</v>
      </c>
      <c r="L1773" s="179" t="s">
        <v>154</v>
      </c>
      <c r="M1773"/>
      <c r="N1773"/>
    </row>
    <row r="1774" spans="1:14" ht="15.6" hidden="1">
      <c r="A1774" s="376">
        <v>45892</v>
      </c>
      <c r="B1774" s="179" t="s">
        <v>3715</v>
      </c>
      <c r="C1774" s="179" t="s">
        <v>173</v>
      </c>
      <c r="D1774" s="179" t="s">
        <v>442</v>
      </c>
      <c r="E1774" s="179">
        <v>500</v>
      </c>
      <c r="F1774" s="317">
        <f t="shared" si="18"/>
        <v>0.89135775178182408</v>
      </c>
      <c r="G1774" s="318">
        <v>560.94200000000001</v>
      </c>
      <c r="H1774" s="179" t="s">
        <v>316</v>
      </c>
      <c r="I1774" s="179" t="s">
        <v>2523</v>
      </c>
      <c r="J1774" s="179" t="s">
        <v>97</v>
      </c>
      <c r="K1774" s="127" t="s">
        <v>1903</v>
      </c>
      <c r="L1774" s="179" t="s">
        <v>154</v>
      </c>
      <c r="M1774"/>
      <c r="N1774"/>
    </row>
    <row r="1775" spans="1:14" ht="15.6" hidden="1">
      <c r="A1775" s="376">
        <v>45892</v>
      </c>
      <c r="B1775" s="179" t="s">
        <v>3715</v>
      </c>
      <c r="C1775" s="179" t="s">
        <v>173</v>
      </c>
      <c r="D1775" s="179" t="s">
        <v>442</v>
      </c>
      <c r="E1775" s="179">
        <v>500</v>
      </c>
      <c r="F1775" s="317">
        <f t="shared" si="18"/>
        <v>0.89135775178182408</v>
      </c>
      <c r="G1775" s="318">
        <v>560.94200000000001</v>
      </c>
      <c r="H1775" s="179" t="s">
        <v>316</v>
      </c>
      <c r="I1775" s="179" t="s">
        <v>2523</v>
      </c>
      <c r="J1775" s="179" t="s">
        <v>97</v>
      </c>
      <c r="K1775" s="127" t="s">
        <v>1903</v>
      </c>
      <c r="L1775" s="179" t="s">
        <v>154</v>
      </c>
      <c r="M1775"/>
      <c r="N1775"/>
    </row>
    <row r="1776" spans="1:14" ht="15.6" hidden="1">
      <c r="A1776" s="376">
        <v>45892</v>
      </c>
      <c r="B1776" s="179" t="s">
        <v>3727</v>
      </c>
      <c r="C1776" s="179" t="s">
        <v>173</v>
      </c>
      <c r="D1776" s="179" t="s">
        <v>442</v>
      </c>
      <c r="E1776" s="179">
        <v>500</v>
      </c>
      <c r="F1776" s="317">
        <f t="shared" si="18"/>
        <v>0.89135775178182408</v>
      </c>
      <c r="G1776" s="318">
        <v>560.94200000000001</v>
      </c>
      <c r="H1776" s="179" t="s">
        <v>316</v>
      </c>
      <c r="I1776" s="179" t="s">
        <v>2523</v>
      </c>
      <c r="J1776" s="179" t="s">
        <v>97</v>
      </c>
      <c r="K1776" s="127" t="s">
        <v>1903</v>
      </c>
      <c r="L1776" s="179" t="s">
        <v>154</v>
      </c>
      <c r="M1776"/>
      <c r="N1776"/>
    </row>
    <row r="1777" spans="1:14" ht="15.6" hidden="1">
      <c r="A1777" s="376">
        <v>45892</v>
      </c>
      <c r="B1777" s="179" t="s">
        <v>2561</v>
      </c>
      <c r="C1777" s="179" t="s">
        <v>173</v>
      </c>
      <c r="D1777" s="179" t="s">
        <v>442</v>
      </c>
      <c r="E1777" s="369">
        <v>500</v>
      </c>
      <c r="F1777" s="317">
        <f t="shared" si="18"/>
        <v>0.89135775178182408</v>
      </c>
      <c r="G1777" s="318">
        <v>560.94200000000001</v>
      </c>
      <c r="H1777" s="179" t="s">
        <v>322</v>
      </c>
      <c r="I1777" s="179" t="s">
        <v>2572</v>
      </c>
      <c r="J1777" s="179" t="s">
        <v>97</v>
      </c>
      <c r="K1777" s="127" t="s">
        <v>1903</v>
      </c>
      <c r="L1777" s="179" t="s">
        <v>154</v>
      </c>
      <c r="M1777"/>
      <c r="N1777"/>
    </row>
    <row r="1778" spans="1:14" ht="15.6" hidden="1">
      <c r="A1778" s="376">
        <v>45892</v>
      </c>
      <c r="B1778" s="179" t="s">
        <v>3683</v>
      </c>
      <c r="C1778" s="179" t="s">
        <v>173</v>
      </c>
      <c r="D1778" s="179" t="s">
        <v>442</v>
      </c>
      <c r="E1778" s="369">
        <v>4000</v>
      </c>
      <c r="F1778" s="317">
        <f t="shared" si="18"/>
        <v>7.1308620142545927</v>
      </c>
      <c r="G1778" s="318">
        <v>560.94200000000001</v>
      </c>
      <c r="H1778" s="179" t="s">
        <v>322</v>
      </c>
      <c r="I1778" s="179" t="s">
        <v>2580</v>
      </c>
      <c r="J1778" s="179" t="s">
        <v>97</v>
      </c>
      <c r="K1778" s="127" t="s">
        <v>1903</v>
      </c>
      <c r="L1778" s="179" t="s">
        <v>154</v>
      </c>
      <c r="M1778"/>
      <c r="N1778"/>
    </row>
    <row r="1779" spans="1:14" ht="15.6" hidden="1">
      <c r="A1779" s="376">
        <v>45892</v>
      </c>
      <c r="B1779" s="179" t="s">
        <v>2562</v>
      </c>
      <c r="C1779" s="179" t="s">
        <v>173</v>
      </c>
      <c r="D1779" s="179" t="s">
        <v>442</v>
      </c>
      <c r="E1779" s="369">
        <v>500</v>
      </c>
      <c r="F1779" s="317">
        <f t="shared" si="18"/>
        <v>0.89135775178182408</v>
      </c>
      <c r="G1779" s="318">
        <v>560.94200000000001</v>
      </c>
      <c r="H1779" s="179" t="s">
        <v>322</v>
      </c>
      <c r="I1779" s="179" t="s">
        <v>2572</v>
      </c>
      <c r="J1779" s="179" t="s">
        <v>97</v>
      </c>
      <c r="K1779" s="127" t="s">
        <v>1903</v>
      </c>
      <c r="L1779" s="179" t="s">
        <v>154</v>
      </c>
      <c r="M1779"/>
      <c r="N1779"/>
    </row>
    <row r="1780" spans="1:14" ht="15.6" hidden="1">
      <c r="A1780" s="376">
        <v>45892</v>
      </c>
      <c r="B1780" s="179" t="s">
        <v>2551</v>
      </c>
      <c r="C1780" s="179" t="s">
        <v>368</v>
      </c>
      <c r="D1780" s="179" t="s">
        <v>442</v>
      </c>
      <c r="E1780" s="369">
        <v>1000</v>
      </c>
      <c r="F1780" s="317">
        <f t="shared" si="18"/>
        <v>1.7827155035636482</v>
      </c>
      <c r="G1780" s="318">
        <v>560.94200000000001</v>
      </c>
      <c r="H1780" s="179" t="s">
        <v>322</v>
      </c>
      <c r="I1780" s="179" t="s">
        <v>2577</v>
      </c>
      <c r="J1780" s="179" t="s">
        <v>97</v>
      </c>
      <c r="K1780" s="127" t="s">
        <v>1903</v>
      </c>
      <c r="L1780" s="179" t="s">
        <v>154</v>
      </c>
      <c r="M1780"/>
      <c r="N1780"/>
    </row>
    <row r="1781" spans="1:14" ht="15.6" hidden="1">
      <c r="A1781" s="376">
        <v>45892</v>
      </c>
      <c r="B1781" s="179" t="s">
        <v>2563</v>
      </c>
      <c r="C1781" s="179" t="s">
        <v>173</v>
      </c>
      <c r="D1781" s="179" t="s">
        <v>442</v>
      </c>
      <c r="E1781" s="369">
        <v>500</v>
      </c>
      <c r="F1781" s="317">
        <f t="shared" si="18"/>
        <v>0.89135775178182408</v>
      </c>
      <c r="G1781" s="318">
        <v>560.94200000000001</v>
      </c>
      <c r="H1781" s="179" t="s">
        <v>322</v>
      </c>
      <c r="I1781" s="179" t="s">
        <v>2572</v>
      </c>
      <c r="J1781" s="179" t="s">
        <v>97</v>
      </c>
      <c r="K1781" s="127" t="s">
        <v>1903</v>
      </c>
      <c r="L1781" s="179" t="s">
        <v>154</v>
      </c>
      <c r="M1781"/>
      <c r="N1781"/>
    </row>
    <row r="1782" spans="1:14" ht="15.6" hidden="1">
      <c r="A1782" s="376">
        <v>45892</v>
      </c>
      <c r="B1782" s="179" t="s">
        <v>2564</v>
      </c>
      <c r="C1782" s="179" t="s">
        <v>173</v>
      </c>
      <c r="D1782" s="179" t="s">
        <v>442</v>
      </c>
      <c r="E1782" s="369">
        <v>500</v>
      </c>
      <c r="F1782" s="317">
        <f t="shared" si="18"/>
        <v>0.89135775178182408</v>
      </c>
      <c r="G1782" s="318">
        <v>560.94200000000001</v>
      </c>
      <c r="H1782" s="179" t="s">
        <v>322</v>
      </c>
      <c r="I1782" s="179" t="s">
        <v>2572</v>
      </c>
      <c r="J1782" s="179" t="s">
        <v>97</v>
      </c>
      <c r="K1782" s="127" t="s">
        <v>1903</v>
      </c>
      <c r="L1782" s="179" t="s">
        <v>154</v>
      </c>
      <c r="M1782"/>
      <c r="N1782"/>
    </row>
    <row r="1783" spans="1:14" ht="15.6" hidden="1">
      <c r="A1783" s="376">
        <v>45892</v>
      </c>
      <c r="B1783" s="179" t="s">
        <v>3683</v>
      </c>
      <c r="C1783" s="179" t="s">
        <v>173</v>
      </c>
      <c r="D1783" s="179" t="s">
        <v>442</v>
      </c>
      <c r="E1783" s="369">
        <v>4000</v>
      </c>
      <c r="F1783" s="317">
        <f t="shared" si="18"/>
        <v>7.1308620142545927</v>
      </c>
      <c r="G1783" s="318">
        <v>560.94200000000001</v>
      </c>
      <c r="H1783" s="179" t="s">
        <v>322</v>
      </c>
      <c r="I1783" s="179" t="s">
        <v>2581</v>
      </c>
      <c r="J1783" s="179" t="s">
        <v>97</v>
      </c>
      <c r="K1783" s="127" t="s">
        <v>1903</v>
      </c>
      <c r="L1783" s="179" t="s">
        <v>154</v>
      </c>
      <c r="M1783"/>
      <c r="N1783"/>
    </row>
    <row r="1784" spans="1:14" ht="15.6" hidden="1">
      <c r="A1784" s="376">
        <v>45892</v>
      </c>
      <c r="B1784" s="179" t="s">
        <v>2565</v>
      </c>
      <c r="C1784" s="179" t="s">
        <v>173</v>
      </c>
      <c r="D1784" s="179" t="s">
        <v>442</v>
      </c>
      <c r="E1784" s="369">
        <v>1000</v>
      </c>
      <c r="F1784" s="317">
        <f t="shared" si="18"/>
        <v>1.7827155035636482</v>
      </c>
      <c r="G1784" s="318">
        <v>560.94200000000001</v>
      </c>
      <c r="H1784" s="179" t="s">
        <v>322</v>
      </c>
      <c r="I1784" s="179" t="s">
        <v>2572</v>
      </c>
      <c r="J1784" s="179" t="s">
        <v>97</v>
      </c>
      <c r="K1784" s="127" t="s">
        <v>1903</v>
      </c>
      <c r="L1784" s="179" t="s">
        <v>154</v>
      </c>
      <c r="M1784"/>
      <c r="N1784"/>
    </row>
    <row r="1785" spans="1:14" ht="15.6" hidden="1">
      <c r="A1785" s="376">
        <v>45892</v>
      </c>
      <c r="B1785" s="179" t="s">
        <v>3683</v>
      </c>
      <c r="C1785" s="179" t="s">
        <v>173</v>
      </c>
      <c r="D1785" s="179" t="s">
        <v>442</v>
      </c>
      <c r="E1785" s="369">
        <v>12000</v>
      </c>
      <c r="F1785" s="317">
        <f t="shared" si="18"/>
        <v>21.392586042763778</v>
      </c>
      <c r="G1785" s="318">
        <v>560.94200000000001</v>
      </c>
      <c r="H1785" s="179" t="s">
        <v>322</v>
      </c>
      <c r="I1785" s="179" t="s">
        <v>2582</v>
      </c>
      <c r="J1785" s="179" t="s">
        <v>97</v>
      </c>
      <c r="K1785" s="127" t="s">
        <v>1903</v>
      </c>
      <c r="L1785" s="179" t="s">
        <v>154</v>
      </c>
      <c r="M1785"/>
      <c r="N1785"/>
    </row>
    <row r="1786" spans="1:14" ht="15.6" hidden="1">
      <c r="A1786" s="376">
        <v>45892</v>
      </c>
      <c r="B1786" s="179" t="s">
        <v>2566</v>
      </c>
      <c r="C1786" s="179" t="s">
        <v>173</v>
      </c>
      <c r="D1786" s="179" t="s">
        <v>442</v>
      </c>
      <c r="E1786" s="369">
        <v>1000</v>
      </c>
      <c r="F1786" s="317">
        <f t="shared" si="18"/>
        <v>1.7827155035636482</v>
      </c>
      <c r="G1786" s="318">
        <v>560.94200000000001</v>
      </c>
      <c r="H1786" s="179" t="s">
        <v>322</v>
      </c>
      <c r="I1786" s="179" t="s">
        <v>2572</v>
      </c>
      <c r="J1786" s="179" t="s">
        <v>97</v>
      </c>
      <c r="K1786" s="127" t="s">
        <v>1903</v>
      </c>
      <c r="L1786" s="179" t="s">
        <v>154</v>
      </c>
      <c r="M1786"/>
      <c r="N1786"/>
    </row>
    <row r="1787" spans="1:14" ht="15.6" hidden="1">
      <c r="A1787" s="375">
        <v>45892</v>
      </c>
      <c r="B1787" s="179" t="s">
        <v>2677</v>
      </c>
      <c r="C1787" s="396" t="s">
        <v>195</v>
      </c>
      <c r="D1787" s="396" t="s">
        <v>116</v>
      </c>
      <c r="E1787" s="369">
        <v>500</v>
      </c>
      <c r="F1787" s="317">
        <f t="shared" si="18"/>
        <v>0.89135775178182408</v>
      </c>
      <c r="G1787" s="318">
        <v>560.94200000000001</v>
      </c>
      <c r="H1787" s="256" t="s">
        <v>196</v>
      </c>
      <c r="I1787" s="179" t="s">
        <v>2707</v>
      </c>
      <c r="J1787" s="179" t="s">
        <v>97</v>
      </c>
      <c r="K1787" s="127" t="s">
        <v>1903</v>
      </c>
      <c r="L1787" s="179" t="s">
        <v>154</v>
      </c>
      <c r="M1787"/>
      <c r="N1787"/>
    </row>
    <row r="1788" spans="1:14" ht="15.6" hidden="1">
      <c r="A1788" s="375">
        <v>45892</v>
      </c>
      <c r="B1788" s="179" t="s">
        <v>2678</v>
      </c>
      <c r="C1788" s="396" t="s">
        <v>195</v>
      </c>
      <c r="D1788" s="396" t="s">
        <v>116</v>
      </c>
      <c r="E1788" s="369">
        <v>500</v>
      </c>
      <c r="F1788" s="317">
        <f t="shared" si="18"/>
        <v>0.89135775178182408</v>
      </c>
      <c r="G1788" s="318">
        <v>560.94200000000001</v>
      </c>
      <c r="H1788" s="256" t="s">
        <v>196</v>
      </c>
      <c r="I1788" s="179" t="s">
        <v>2707</v>
      </c>
      <c r="J1788" s="179" t="s">
        <v>97</v>
      </c>
      <c r="K1788" s="127" t="s">
        <v>1903</v>
      </c>
      <c r="L1788" s="179" t="s">
        <v>154</v>
      </c>
      <c r="M1788"/>
      <c r="N1788"/>
    </row>
    <row r="1789" spans="1:14" ht="15.6" hidden="1">
      <c r="A1789" s="375">
        <v>45892</v>
      </c>
      <c r="B1789" s="179" t="s">
        <v>2679</v>
      </c>
      <c r="C1789" s="396" t="s">
        <v>195</v>
      </c>
      <c r="D1789" s="396" t="s">
        <v>116</v>
      </c>
      <c r="E1789" s="369">
        <v>500</v>
      </c>
      <c r="F1789" s="317">
        <f t="shared" si="18"/>
        <v>0.89135775178182408</v>
      </c>
      <c r="G1789" s="318">
        <v>560.94200000000001</v>
      </c>
      <c r="H1789" s="256" t="s">
        <v>196</v>
      </c>
      <c r="I1789" s="179" t="s">
        <v>2707</v>
      </c>
      <c r="J1789" s="179" t="s">
        <v>97</v>
      </c>
      <c r="K1789" s="127" t="s">
        <v>1903</v>
      </c>
      <c r="L1789" s="179" t="s">
        <v>154</v>
      </c>
      <c r="M1789"/>
      <c r="N1789"/>
    </row>
    <row r="1790" spans="1:14" ht="15.6" hidden="1">
      <c r="A1790" s="375">
        <v>45892</v>
      </c>
      <c r="B1790" s="179" t="s">
        <v>2672</v>
      </c>
      <c r="C1790" s="396" t="s">
        <v>195</v>
      </c>
      <c r="D1790" s="396" t="s">
        <v>116</v>
      </c>
      <c r="E1790" s="369">
        <v>500</v>
      </c>
      <c r="F1790" s="317">
        <f t="shared" si="18"/>
        <v>0.89135775178182408</v>
      </c>
      <c r="G1790" s="318">
        <v>560.94200000000001</v>
      </c>
      <c r="H1790" s="256" t="s">
        <v>196</v>
      </c>
      <c r="I1790" s="179" t="s">
        <v>2707</v>
      </c>
      <c r="J1790" s="179" t="s">
        <v>97</v>
      </c>
      <c r="K1790" s="127" t="s">
        <v>1903</v>
      </c>
      <c r="L1790" s="179" t="s">
        <v>154</v>
      </c>
      <c r="M1790"/>
      <c r="N1790"/>
    </row>
    <row r="1791" spans="1:14" ht="15.6" hidden="1">
      <c r="A1791" s="376">
        <v>45892</v>
      </c>
      <c r="B1791" s="179" t="s">
        <v>2727</v>
      </c>
      <c r="C1791" s="179" t="s">
        <v>173</v>
      </c>
      <c r="D1791" s="179" t="s">
        <v>119</v>
      </c>
      <c r="E1791" s="369">
        <v>500</v>
      </c>
      <c r="F1791" s="317">
        <f t="shared" si="18"/>
        <v>0.89135775178182408</v>
      </c>
      <c r="G1791" s="318">
        <v>560.94200000000001</v>
      </c>
      <c r="H1791" s="179" t="s">
        <v>212</v>
      </c>
      <c r="I1791" s="179" t="s">
        <v>2739</v>
      </c>
      <c r="J1791" s="179" t="s">
        <v>97</v>
      </c>
      <c r="K1791" s="127" t="s">
        <v>1903</v>
      </c>
      <c r="L1791" s="179" t="s">
        <v>154</v>
      </c>
      <c r="M1791"/>
      <c r="N1791"/>
    </row>
    <row r="1792" spans="1:14" ht="15.6" hidden="1">
      <c r="A1792" s="376">
        <v>45892</v>
      </c>
      <c r="B1792" s="179" t="s">
        <v>2728</v>
      </c>
      <c r="C1792" s="179" t="s">
        <v>173</v>
      </c>
      <c r="D1792" s="179" t="s">
        <v>119</v>
      </c>
      <c r="E1792" s="369">
        <v>500</v>
      </c>
      <c r="F1792" s="317">
        <f t="shared" si="18"/>
        <v>0.89135775178182408</v>
      </c>
      <c r="G1792" s="318">
        <v>560.94200000000001</v>
      </c>
      <c r="H1792" s="179" t="s">
        <v>212</v>
      </c>
      <c r="I1792" s="179" t="s">
        <v>2739</v>
      </c>
      <c r="J1792" s="179" t="s">
        <v>97</v>
      </c>
      <c r="K1792" s="127" t="s">
        <v>1903</v>
      </c>
      <c r="L1792" s="179" t="s">
        <v>154</v>
      </c>
      <c r="M1792"/>
      <c r="N1792"/>
    </row>
    <row r="1793" spans="1:14" ht="15.6" hidden="1">
      <c r="A1793" s="372">
        <v>45893</v>
      </c>
      <c r="B1793" s="396" t="s">
        <v>2100</v>
      </c>
      <c r="C1793" s="303" t="s">
        <v>173</v>
      </c>
      <c r="D1793" s="303" t="s">
        <v>118</v>
      </c>
      <c r="E1793" s="396">
        <v>1000</v>
      </c>
      <c r="F1793" s="317">
        <f t="shared" si="18"/>
        <v>1.7827155035636482</v>
      </c>
      <c r="G1793" s="318">
        <v>560.94200000000001</v>
      </c>
      <c r="H1793" s="403" t="s">
        <v>152</v>
      </c>
      <c r="I1793" s="404" t="s">
        <v>2425</v>
      </c>
      <c r="J1793" s="179" t="s">
        <v>97</v>
      </c>
      <c r="K1793" s="127" t="s">
        <v>1903</v>
      </c>
      <c r="L1793" s="179" t="s">
        <v>154</v>
      </c>
      <c r="M1793" s="390"/>
      <c r="N1793" s="390"/>
    </row>
    <row r="1794" spans="1:14" ht="15.6" hidden="1">
      <c r="A1794" s="372">
        <v>45893</v>
      </c>
      <c r="B1794" s="396" t="s">
        <v>2101</v>
      </c>
      <c r="C1794" s="303" t="s">
        <v>173</v>
      </c>
      <c r="D1794" s="303" t="s">
        <v>118</v>
      </c>
      <c r="E1794" s="396">
        <v>1000</v>
      </c>
      <c r="F1794" s="317">
        <f t="shared" si="18"/>
        <v>1.7827155035636482</v>
      </c>
      <c r="G1794" s="318">
        <v>560.94200000000001</v>
      </c>
      <c r="H1794" s="403" t="s">
        <v>152</v>
      </c>
      <c r="I1794" s="404" t="s">
        <v>2425</v>
      </c>
      <c r="J1794" s="179" t="s">
        <v>97</v>
      </c>
      <c r="K1794" s="127" t="s">
        <v>1903</v>
      </c>
      <c r="L1794" s="179" t="s">
        <v>154</v>
      </c>
      <c r="M1794" s="390"/>
      <c r="N1794" s="390"/>
    </row>
    <row r="1795" spans="1:14" ht="15.6" hidden="1">
      <c r="A1795" s="374">
        <v>45893</v>
      </c>
      <c r="B1795" s="395" t="s">
        <v>2409</v>
      </c>
      <c r="C1795" s="395" t="s">
        <v>173</v>
      </c>
      <c r="D1795" s="395" t="s">
        <v>116</v>
      </c>
      <c r="E1795" s="405">
        <v>500</v>
      </c>
      <c r="F1795" s="317">
        <f t="shared" si="18"/>
        <v>0.89135775178182408</v>
      </c>
      <c r="G1795" s="318">
        <v>560.94200000000001</v>
      </c>
      <c r="H1795" s="174" t="s">
        <v>199</v>
      </c>
      <c r="I1795" s="395" t="s">
        <v>2423</v>
      </c>
      <c r="J1795" s="179" t="s">
        <v>97</v>
      </c>
      <c r="K1795" s="127" t="s">
        <v>1903</v>
      </c>
      <c r="L1795" s="179" t="s">
        <v>154</v>
      </c>
      <c r="M1795" s="390"/>
      <c r="N1795" s="390"/>
    </row>
    <row r="1796" spans="1:14" ht="15.6" hidden="1">
      <c r="A1796" s="374">
        <v>45893</v>
      </c>
      <c r="B1796" s="395" t="s">
        <v>2410</v>
      </c>
      <c r="C1796" s="395" t="s">
        <v>173</v>
      </c>
      <c r="D1796" s="395" t="s">
        <v>116</v>
      </c>
      <c r="E1796" s="405">
        <v>500</v>
      </c>
      <c r="F1796" s="317">
        <f t="shared" si="18"/>
        <v>0.89135775178182408</v>
      </c>
      <c r="G1796" s="318">
        <v>560.94200000000001</v>
      </c>
      <c r="H1796" s="174" t="s">
        <v>199</v>
      </c>
      <c r="I1796" s="395" t="s">
        <v>2423</v>
      </c>
      <c r="J1796" s="179" t="s">
        <v>97</v>
      </c>
      <c r="K1796" s="127" t="s">
        <v>1903</v>
      </c>
      <c r="L1796" s="179" t="s">
        <v>154</v>
      </c>
      <c r="M1796" s="390"/>
      <c r="N1796" s="390"/>
    </row>
    <row r="1797" spans="1:14" ht="15.6" hidden="1">
      <c r="A1797" s="241">
        <v>45893</v>
      </c>
      <c r="B1797" s="174" t="s">
        <v>3786</v>
      </c>
      <c r="C1797" s="174" t="s">
        <v>173</v>
      </c>
      <c r="D1797" s="179" t="s">
        <v>442</v>
      </c>
      <c r="E1797" s="174">
        <v>1000</v>
      </c>
      <c r="F1797" s="317">
        <f t="shared" si="18"/>
        <v>1.7827155035636482</v>
      </c>
      <c r="G1797" s="318">
        <v>560.94200000000001</v>
      </c>
      <c r="H1797" s="174" t="s">
        <v>183</v>
      </c>
      <c r="I1797" s="174" t="s">
        <v>2473</v>
      </c>
      <c r="J1797" s="179" t="s">
        <v>97</v>
      </c>
      <c r="K1797" s="127" t="s">
        <v>1903</v>
      </c>
      <c r="L1797" s="179" t="s">
        <v>154</v>
      </c>
      <c r="M1797"/>
      <c r="N1797"/>
    </row>
    <row r="1798" spans="1:14" ht="15.6" hidden="1">
      <c r="A1798" s="241">
        <v>45893</v>
      </c>
      <c r="B1798" s="174" t="s">
        <v>3787</v>
      </c>
      <c r="C1798" s="174" t="s">
        <v>173</v>
      </c>
      <c r="D1798" s="179" t="s">
        <v>442</v>
      </c>
      <c r="E1798" s="174">
        <v>1000</v>
      </c>
      <c r="F1798" s="317">
        <f t="shared" si="18"/>
        <v>1.7827155035636482</v>
      </c>
      <c r="G1798" s="318">
        <v>560.94200000000001</v>
      </c>
      <c r="H1798" s="174" t="s">
        <v>183</v>
      </c>
      <c r="I1798" s="174" t="s">
        <v>2473</v>
      </c>
      <c r="J1798" s="179" t="s">
        <v>97</v>
      </c>
      <c r="K1798" s="127" t="s">
        <v>1903</v>
      </c>
      <c r="L1798" s="179" t="s">
        <v>154</v>
      </c>
      <c r="M1798"/>
      <c r="N1798"/>
    </row>
    <row r="1799" spans="1:14" ht="15.6" hidden="1">
      <c r="A1799" s="379">
        <v>45893</v>
      </c>
      <c r="B1799" s="179" t="s">
        <v>3902</v>
      </c>
      <c r="C1799" s="179" t="s">
        <v>173</v>
      </c>
      <c r="D1799" s="179" t="s">
        <v>442</v>
      </c>
      <c r="E1799" s="179">
        <v>500</v>
      </c>
      <c r="F1799" s="317">
        <f t="shared" si="18"/>
        <v>0.89135775178182408</v>
      </c>
      <c r="G1799" s="318">
        <v>560.94200000000001</v>
      </c>
      <c r="H1799" s="179" t="s">
        <v>174</v>
      </c>
      <c r="I1799" s="179" t="s">
        <v>2494</v>
      </c>
      <c r="J1799" s="179" t="s">
        <v>97</v>
      </c>
      <c r="K1799" s="127" t="s">
        <v>1903</v>
      </c>
      <c r="L1799" s="179" t="s">
        <v>154</v>
      </c>
      <c r="M1799"/>
      <c r="N1799"/>
    </row>
    <row r="1800" spans="1:14" ht="15.6" hidden="1">
      <c r="A1800" s="379">
        <v>45893</v>
      </c>
      <c r="B1800" s="398" t="s">
        <v>3902</v>
      </c>
      <c r="C1800" s="398" t="s">
        <v>173</v>
      </c>
      <c r="D1800" s="179" t="s">
        <v>442</v>
      </c>
      <c r="E1800" s="398">
        <v>500</v>
      </c>
      <c r="F1800" s="317">
        <f t="shared" si="18"/>
        <v>0.89135775178182408</v>
      </c>
      <c r="G1800" s="318">
        <v>560.94200000000001</v>
      </c>
      <c r="H1800" s="398" t="s">
        <v>174</v>
      </c>
      <c r="I1800" s="398" t="s">
        <v>2494</v>
      </c>
      <c r="J1800" s="179" t="s">
        <v>97</v>
      </c>
      <c r="K1800" s="127" t="s">
        <v>1903</v>
      </c>
      <c r="L1800" s="179" t="s">
        <v>154</v>
      </c>
      <c r="M1800"/>
      <c r="N1800"/>
    </row>
    <row r="1801" spans="1:14" ht="15.6" hidden="1">
      <c r="A1801" s="379">
        <v>45893</v>
      </c>
      <c r="B1801" s="179" t="s">
        <v>3726</v>
      </c>
      <c r="C1801" s="179" t="s">
        <v>173</v>
      </c>
      <c r="D1801" s="179" t="s">
        <v>442</v>
      </c>
      <c r="E1801" s="179">
        <v>500</v>
      </c>
      <c r="F1801" s="317">
        <f t="shared" si="18"/>
        <v>0.89135775178182408</v>
      </c>
      <c r="G1801" s="318">
        <v>560.94200000000001</v>
      </c>
      <c r="H1801" s="179" t="s">
        <v>174</v>
      </c>
      <c r="I1801" s="179" t="s">
        <v>2494</v>
      </c>
      <c r="J1801" s="179" t="s">
        <v>97</v>
      </c>
      <c r="K1801" s="127" t="s">
        <v>1903</v>
      </c>
      <c r="L1801" s="179" t="s">
        <v>154</v>
      </c>
      <c r="M1801"/>
      <c r="N1801"/>
    </row>
    <row r="1802" spans="1:14" ht="15.6" hidden="1">
      <c r="A1802" s="379">
        <v>45893</v>
      </c>
      <c r="B1802" s="179" t="s">
        <v>3902</v>
      </c>
      <c r="C1802" s="179" t="s">
        <v>173</v>
      </c>
      <c r="D1802" s="179" t="s">
        <v>442</v>
      </c>
      <c r="E1802" s="179">
        <v>500</v>
      </c>
      <c r="F1802" s="317">
        <f t="shared" si="18"/>
        <v>0.89135775178182408</v>
      </c>
      <c r="G1802" s="318">
        <v>560.94200000000001</v>
      </c>
      <c r="H1802" s="179" t="s">
        <v>174</v>
      </c>
      <c r="I1802" s="398" t="s">
        <v>2494</v>
      </c>
      <c r="J1802" s="179" t="s">
        <v>97</v>
      </c>
      <c r="K1802" s="127" t="s">
        <v>1903</v>
      </c>
      <c r="L1802" s="179" t="s">
        <v>154</v>
      </c>
      <c r="M1802"/>
      <c r="N1802"/>
    </row>
    <row r="1803" spans="1:14" ht="15.6" hidden="1">
      <c r="A1803" s="379">
        <v>45893</v>
      </c>
      <c r="B1803" s="179" t="s">
        <v>3902</v>
      </c>
      <c r="C1803" s="179" t="s">
        <v>173</v>
      </c>
      <c r="D1803" s="179" t="s">
        <v>442</v>
      </c>
      <c r="E1803" s="179">
        <v>500</v>
      </c>
      <c r="F1803" s="317">
        <f t="shared" si="18"/>
        <v>0.89135775178182408</v>
      </c>
      <c r="G1803" s="318">
        <v>560.94200000000001</v>
      </c>
      <c r="H1803" s="179" t="s">
        <v>174</v>
      </c>
      <c r="I1803" s="179" t="s">
        <v>2494</v>
      </c>
      <c r="J1803" s="179" t="s">
        <v>97</v>
      </c>
      <c r="K1803" s="127" t="s">
        <v>1903</v>
      </c>
      <c r="L1803" s="179" t="s">
        <v>154</v>
      </c>
      <c r="M1803"/>
      <c r="N1803"/>
    </row>
    <row r="1804" spans="1:14" ht="15.6" hidden="1">
      <c r="A1804" s="379">
        <v>45893</v>
      </c>
      <c r="B1804" s="179" t="s">
        <v>3726</v>
      </c>
      <c r="C1804" s="179" t="s">
        <v>173</v>
      </c>
      <c r="D1804" s="179" t="s">
        <v>442</v>
      </c>
      <c r="E1804" s="179">
        <v>500</v>
      </c>
      <c r="F1804" s="317">
        <f t="shared" si="18"/>
        <v>0.89135775178182408</v>
      </c>
      <c r="G1804" s="318">
        <v>560.94200000000001</v>
      </c>
      <c r="H1804" s="179" t="s">
        <v>174</v>
      </c>
      <c r="I1804" s="398" t="s">
        <v>2494</v>
      </c>
      <c r="J1804" s="179" t="s">
        <v>97</v>
      </c>
      <c r="K1804" s="127" t="s">
        <v>1903</v>
      </c>
      <c r="L1804" s="179" t="s">
        <v>154</v>
      </c>
      <c r="M1804"/>
      <c r="N1804"/>
    </row>
    <row r="1805" spans="1:14" ht="15.6" hidden="1">
      <c r="A1805" s="376">
        <v>45893</v>
      </c>
      <c r="B1805" s="179" t="s">
        <v>3703</v>
      </c>
      <c r="C1805" s="179" t="s">
        <v>176</v>
      </c>
      <c r="D1805" s="179" t="s">
        <v>442</v>
      </c>
      <c r="E1805" s="179">
        <v>15000</v>
      </c>
      <c r="F1805" s="317">
        <f t="shared" si="18"/>
        <v>26.740732553454723</v>
      </c>
      <c r="G1805" s="318">
        <v>560.94200000000001</v>
      </c>
      <c r="H1805" s="179" t="s">
        <v>316</v>
      </c>
      <c r="I1805" s="398" t="s">
        <v>2533</v>
      </c>
      <c r="J1805" s="179" t="s">
        <v>97</v>
      </c>
      <c r="K1805" s="127" t="s">
        <v>1903</v>
      </c>
      <c r="L1805" s="179" t="s">
        <v>154</v>
      </c>
      <c r="M1805"/>
      <c r="N1805"/>
    </row>
    <row r="1806" spans="1:14" ht="15.6" hidden="1">
      <c r="A1806" s="376">
        <v>45893</v>
      </c>
      <c r="B1806" s="179" t="s">
        <v>3728</v>
      </c>
      <c r="C1806" s="179" t="s">
        <v>173</v>
      </c>
      <c r="D1806" s="179" t="s">
        <v>442</v>
      </c>
      <c r="E1806" s="179">
        <v>500</v>
      </c>
      <c r="F1806" s="317">
        <f t="shared" si="18"/>
        <v>0.89135775178182408</v>
      </c>
      <c r="G1806" s="318">
        <v>560.94200000000001</v>
      </c>
      <c r="H1806" s="179" t="s">
        <v>316</v>
      </c>
      <c r="I1806" s="398" t="s">
        <v>2523</v>
      </c>
      <c r="J1806" s="179" t="s">
        <v>97</v>
      </c>
      <c r="K1806" s="127" t="s">
        <v>1903</v>
      </c>
      <c r="L1806" s="179" t="s">
        <v>154</v>
      </c>
      <c r="M1806"/>
      <c r="N1806"/>
    </row>
    <row r="1807" spans="1:14" ht="15.6" hidden="1">
      <c r="A1807" s="376">
        <v>45893</v>
      </c>
      <c r="B1807" s="179" t="s">
        <v>3694</v>
      </c>
      <c r="C1807" s="179" t="s">
        <v>173</v>
      </c>
      <c r="D1807" s="179" t="s">
        <v>442</v>
      </c>
      <c r="E1807" s="179">
        <v>5000</v>
      </c>
      <c r="F1807" s="317">
        <f t="shared" si="18"/>
        <v>8.9135775178182417</v>
      </c>
      <c r="G1807" s="318">
        <v>560.94200000000001</v>
      </c>
      <c r="H1807" s="179" t="s">
        <v>316</v>
      </c>
      <c r="I1807" s="179" t="s">
        <v>2534</v>
      </c>
      <c r="J1807" s="179" t="s">
        <v>97</v>
      </c>
      <c r="K1807" s="127" t="s">
        <v>1903</v>
      </c>
      <c r="L1807" s="179" t="s">
        <v>154</v>
      </c>
      <c r="M1807"/>
      <c r="N1807"/>
    </row>
    <row r="1808" spans="1:14" ht="15.6" hidden="1">
      <c r="A1808" s="376">
        <v>45893</v>
      </c>
      <c r="B1808" s="179" t="s">
        <v>3729</v>
      </c>
      <c r="C1808" s="179" t="s">
        <v>173</v>
      </c>
      <c r="D1808" s="179" t="s">
        <v>442</v>
      </c>
      <c r="E1808" s="179">
        <v>4000</v>
      </c>
      <c r="F1808" s="317">
        <f t="shared" si="18"/>
        <v>7.1308620142545927</v>
      </c>
      <c r="G1808" s="318">
        <v>560.94200000000001</v>
      </c>
      <c r="H1808" s="179" t="s">
        <v>316</v>
      </c>
      <c r="I1808" s="398" t="s">
        <v>2523</v>
      </c>
      <c r="J1808" s="179" t="s">
        <v>97</v>
      </c>
      <c r="K1808" s="127" t="s">
        <v>1903</v>
      </c>
      <c r="L1808" s="179" t="s">
        <v>154</v>
      </c>
      <c r="M1808"/>
      <c r="N1808"/>
    </row>
    <row r="1809" spans="1:14" ht="15.6" hidden="1">
      <c r="A1809" s="376">
        <v>45893</v>
      </c>
      <c r="B1809" s="179" t="s">
        <v>3684</v>
      </c>
      <c r="C1809" s="179" t="s">
        <v>2391</v>
      </c>
      <c r="D1809" s="179" t="s">
        <v>442</v>
      </c>
      <c r="E1809" s="369">
        <v>75000</v>
      </c>
      <c r="F1809" s="317">
        <f t="shared" si="18"/>
        <v>133.70366276727361</v>
      </c>
      <c r="G1809" s="318">
        <v>560.94200000000001</v>
      </c>
      <c r="H1809" s="179" t="s">
        <v>322</v>
      </c>
      <c r="I1809" s="398" t="s">
        <v>2583</v>
      </c>
      <c r="J1809" s="179" t="s">
        <v>97</v>
      </c>
      <c r="K1809" s="127" t="s">
        <v>1903</v>
      </c>
      <c r="L1809" s="179" t="s">
        <v>154</v>
      </c>
      <c r="M1809"/>
      <c r="N1809"/>
    </row>
    <row r="1810" spans="1:14" ht="15.6" hidden="1">
      <c r="A1810" s="376">
        <v>45893</v>
      </c>
      <c r="B1810" s="179" t="s">
        <v>3685</v>
      </c>
      <c r="C1810" s="179" t="s">
        <v>173</v>
      </c>
      <c r="D1810" s="179" t="s">
        <v>442</v>
      </c>
      <c r="E1810" s="369">
        <v>1000</v>
      </c>
      <c r="F1810" s="317">
        <f t="shared" si="18"/>
        <v>1.7827155035636482</v>
      </c>
      <c r="G1810" s="318">
        <v>560.94200000000001</v>
      </c>
      <c r="H1810" s="179" t="s">
        <v>322</v>
      </c>
      <c r="I1810" s="398" t="s">
        <v>2572</v>
      </c>
      <c r="J1810" s="179" t="s">
        <v>97</v>
      </c>
      <c r="K1810" s="127" t="s">
        <v>1903</v>
      </c>
      <c r="L1810" s="179" t="s">
        <v>154</v>
      </c>
      <c r="M1810"/>
      <c r="N1810"/>
    </row>
    <row r="1811" spans="1:14" ht="15.6" hidden="1">
      <c r="A1811" s="376">
        <v>45893</v>
      </c>
      <c r="B1811" s="179" t="s">
        <v>2567</v>
      </c>
      <c r="C1811" s="179" t="s">
        <v>173</v>
      </c>
      <c r="D1811" s="179" t="s">
        <v>442</v>
      </c>
      <c r="E1811" s="369">
        <v>1000</v>
      </c>
      <c r="F1811" s="317">
        <f t="shared" si="18"/>
        <v>1.7827155035636482</v>
      </c>
      <c r="G1811" s="318">
        <v>560.94200000000001</v>
      </c>
      <c r="H1811" s="179" t="s">
        <v>322</v>
      </c>
      <c r="I1811" s="398" t="s">
        <v>2572</v>
      </c>
      <c r="J1811" s="179" t="s">
        <v>97</v>
      </c>
      <c r="K1811" s="127" t="s">
        <v>1903</v>
      </c>
      <c r="L1811" s="179" t="s">
        <v>154</v>
      </c>
      <c r="M1811"/>
      <c r="N1811"/>
    </row>
    <row r="1812" spans="1:14" ht="15.6" hidden="1">
      <c r="A1812" s="375">
        <v>45893</v>
      </c>
      <c r="B1812" s="179" t="s">
        <v>2680</v>
      </c>
      <c r="C1812" s="396" t="s">
        <v>195</v>
      </c>
      <c r="D1812" s="396" t="s">
        <v>116</v>
      </c>
      <c r="E1812" s="369">
        <v>500</v>
      </c>
      <c r="F1812" s="317">
        <f t="shared" si="18"/>
        <v>0.89135775178182408</v>
      </c>
      <c r="G1812" s="318">
        <v>560.94200000000001</v>
      </c>
      <c r="H1812" s="256" t="s">
        <v>196</v>
      </c>
      <c r="I1812" s="179" t="s">
        <v>2707</v>
      </c>
      <c r="J1812" s="179" t="s">
        <v>97</v>
      </c>
      <c r="K1812" s="127" t="s">
        <v>1903</v>
      </c>
      <c r="L1812" s="179" t="s">
        <v>154</v>
      </c>
      <c r="M1812"/>
      <c r="N1812"/>
    </row>
    <row r="1813" spans="1:14" ht="15.6" hidden="1">
      <c r="A1813" s="375">
        <v>45893</v>
      </c>
      <c r="B1813" s="179" t="s">
        <v>1810</v>
      </c>
      <c r="C1813" s="179" t="s">
        <v>1811</v>
      </c>
      <c r="D1813" s="396" t="s">
        <v>116</v>
      </c>
      <c r="E1813" s="369">
        <v>1400</v>
      </c>
      <c r="F1813" s="317">
        <f t="shared" si="18"/>
        <v>2.4958017049891077</v>
      </c>
      <c r="G1813" s="318">
        <v>560.94200000000001</v>
      </c>
      <c r="H1813" s="256" t="s">
        <v>196</v>
      </c>
      <c r="I1813" s="398" t="s">
        <v>2713</v>
      </c>
      <c r="J1813" s="179" t="s">
        <v>97</v>
      </c>
      <c r="K1813" s="127" t="s">
        <v>1903</v>
      </c>
      <c r="L1813" s="179" t="s">
        <v>154</v>
      </c>
      <c r="M1813"/>
      <c r="N1813"/>
    </row>
    <row r="1814" spans="1:14" ht="15.6" hidden="1">
      <c r="A1814" s="375">
        <v>45893</v>
      </c>
      <c r="B1814" s="179" t="s">
        <v>2681</v>
      </c>
      <c r="C1814" s="396" t="s">
        <v>195</v>
      </c>
      <c r="D1814" s="396" t="s">
        <v>116</v>
      </c>
      <c r="E1814" s="369">
        <v>500</v>
      </c>
      <c r="F1814" s="317">
        <f t="shared" si="18"/>
        <v>0.89135775178182408</v>
      </c>
      <c r="G1814" s="318">
        <v>560.94200000000001</v>
      </c>
      <c r="H1814" s="256" t="s">
        <v>196</v>
      </c>
      <c r="I1814" s="398" t="s">
        <v>2707</v>
      </c>
      <c r="J1814" s="179" t="s">
        <v>97</v>
      </c>
      <c r="K1814" s="127" t="s">
        <v>1903</v>
      </c>
      <c r="L1814" s="179" t="s">
        <v>154</v>
      </c>
      <c r="M1814"/>
      <c r="N1814"/>
    </row>
    <row r="1815" spans="1:14" ht="15.6" hidden="1">
      <c r="A1815" s="372">
        <v>45894</v>
      </c>
      <c r="B1815" s="396" t="s">
        <v>2100</v>
      </c>
      <c r="C1815" s="303" t="s">
        <v>173</v>
      </c>
      <c r="D1815" s="303" t="s">
        <v>118</v>
      </c>
      <c r="E1815" s="396">
        <v>1000</v>
      </c>
      <c r="F1815" s="317">
        <f t="shared" si="18"/>
        <v>1.7827155035636482</v>
      </c>
      <c r="G1815" s="318">
        <v>560.94200000000001</v>
      </c>
      <c r="H1815" s="403" t="s">
        <v>152</v>
      </c>
      <c r="I1815" s="409" t="s">
        <v>2425</v>
      </c>
      <c r="J1815" s="179" t="s">
        <v>97</v>
      </c>
      <c r="K1815" s="127" t="s">
        <v>1903</v>
      </c>
      <c r="L1815" s="179" t="s">
        <v>154</v>
      </c>
      <c r="M1815" s="390"/>
      <c r="N1815" s="390"/>
    </row>
    <row r="1816" spans="1:14" ht="15.6" hidden="1">
      <c r="A1816" s="372">
        <v>45894</v>
      </c>
      <c r="B1816" s="396" t="s">
        <v>2101</v>
      </c>
      <c r="C1816" s="303" t="s">
        <v>173</v>
      </c>
      <c r="D1816" s="303" t="s">
        <v>118</v>
      </c>
      <c r="E1816" s="396">
        <v>1000</v>
      </c>
      <c r="F1816" s="317">
        <f t="shared" si="18"/>
        <v>1.7827155035636482</v>
      </c>
      <c r="G1816" s="318">
        <v>560.94200000000001</v>
      </c>
      <c r="H1816" s="403" t="s">
        <v>152</v>
      </c>
      <c r="I1816" s="409" t="s">
        <v>2425</v>
      </c>
      <c r="J1816" s="179" t="s">
        <v>97</v>
      </c>
      <c r="K1816" s="127" t="s">
        <v>1903</v>
      </c>
      <c r="L1816" s="179" t="s">
        <v>154</v>
      </c>
      <c r="M1816" s="390"/>
      <c r="N1816" s="390"/>
    </row>
    <row r="1817" spans="1:14" ht="15.6" hidden="1">
      <c r="A1817" s="374">
        <v>45894</v>
      </c>
      <c r="B1817" s="395" t="s">
        <v>2411</v>
      </c>
      <c r="C1817" s="395" t="s">
        <v>173</v>
      </c>
      <c r="D1817" s="395" t="s">
        <v>116</v>
      </c>
      <c r="E1817" s="405">
        <v>500</v>
      </c>
      <c r="F1817" s="317">
        <f t="shared" si="18"/>
        <v>0.89135775178182408</v>
      </c>
      <c r="G1817" s="318">
        <v>560.94200000000001</v>
      </c>
      <c r="H1817" s="174" t="s">
        <v>199</v>
      </c>
      <c r="I1817" s="395" t="s">
        <v>2423</v>
      </c>
      <c r="J1817" s="179" t="s">
        <v>97</v>
      </c>
      <c r="K1817" s="127" t="s">
        <v>1903</v>
      </c>
      <c r="L1817" s="179" t="s">
        <v>154</v>
      </c>
      <c r="M1817" s="390"/>
      <c r="N1817" s="390"/>
    </row>
    <row r="1818" spans="1:14" ht="15.6" hidden="1">
      <c r="A1818" s="374">
        <v>45894</v>
      </c>
      <c r="B1818" s="395" t="s">
        <v>2412</v>
      </c>
      <c r="C1818" s="395" t="s">
        <v>173</v>
      </c>
      <c r="D1818" s="395" t="s">
        <v>116</v>
      </c>
      <c r="E1818" s="405">
        <v>2000</v>
      </c>
      <c r="F1818" s="317">
        <f t="shared" si="18"/>
        <v>3.5654310071272963</v>
      </c>
      <c r="G1818" s="318">
        <v>560.94200000000001</v>
      </c>
      <c r="H1818" s="174" t="s">
        <v>199</v>
      </c>
      <c r="I1818" s="410" t="s">
        <v>2423</v>
      </c>
      <c r="J1818" s="179" t="s">
        <v>97</v>
      </c>
      <c r="K1818" s="127" t="s">
        <v>1903</v>
      </c>
      <c r="L1818" s="179" t="s">
        <v>154</v>
      </c>
      <c r="M1818" s="390"/>
      <c r="N1818" s="390"/>
    </row>
    <row r="1819" spans="1:14" ht="15.6" hidden="1">
      <c r="A1819" s="241">
        <v>45894</v>
      </c>
      <c r="B1819" s="174" t="s">
        <v>2413</v>
      </c>
      <c r="C1819" s="174" t="s">
        <v>2391</v>
      </c>
      <c r="D1819" s="174" t="s">
        <v>2088</v>
      </c>
      <c r="E1819" s="406">
        <v>10000</v>
      </c>
      <c r="F1819" s="317">
        <f t="shared" si="18"/>
        <v>17.827155035636483</v>
      </c>
      <c r="G1819" s="318">
        <v>560.94200000000001</v>
      </c>
      <c r="H1819" s="174" t="s">
        <v>199</v>
      </c>
      <c r="I1819" s="410" t="s">
        <v>2844</v>
      </c>
      <c r="J1819" s="179" t="s">
        <v>97</v>
      </c>
      <c r="K1819" s="127" t="s">
        <v>1903</v>
      </c>
      <c r="L1819" s="179" t="s">
        <v>154</v>
      </c>
      <c r="M1819" s="390"/>
      <c r="N1819" s="390"/>
    </row>
    <row r="1820" spans="1:14" ht="15.6" hidden="1">
      <c r="A1820" s="374">
        <v>45894</v>
      </c>
      <c r="B1820" s="395" t="s">
        <v>2403</v>
      </c>
      <c r="C1820" s="395" t="s">
        <v>173</v>
      </c>
      <c r="D1820" s="395" t="s">
        <v>116</v>
      </c>
      <c r="E1820" s="405">
        <v>500</v>
      </c>
      <c r="F1820" s="317">
        <f t="shared" si="18"/>
        <v>0.89135775178182408</v>
      </c>
      <c r="G1820" s="318">
        <v>560.94200000000001</v>
      </c>
      <c r="H1820" s="174" t="s">
        <v>199</v>
      </c>
      <c r="I1820" s="395" t="s">
        <v>2423</v>
      </c>
      <c r="J1820" s="179" t="s">
        <v>97</v>
      </c>
      <c r="K1820" s="127" t="s">
        <v>1903</v>
      </c>
      <c r="L1820" s="179" t="s">
        <v>154</v>
      </c>
      <c r="M1820" s="390"/>
      <c r="N1820" s="390"/>
    </row>
    <row r="1821" spans="1:14" ht="15.6" hidden="1">
      <c r="A1821" s="378">
        <v>45894</v>
      </c>
      <c r="B1821" s="179" t="s">
        <v>2458</v>
      </c>
      <c r="C1821" s="179" t="s">
        <v>173</v>
      </c>
      <c r="D1821" s="179" t="s">
        <v>117</v>
      </c>
      <c r="E1821" s="332">
        <v>1000</v>
      </c>
      <c r="F1821" s="317">
        <f t="shared" si="18"/>
        <v>1.7827155035636482</v>
      </c>
      <c r="G1821" s="318">
        <v>560.94200000000001</v>
      </c>
      <c r="H1821" s="179" t="s">
        <v>583</v>
      </c>
      <c r="I1821" s="398" t="s">
        <v>2464</v>
      </c>
      <c r="J1821" s="179" t="s">
        <v>97</v>
      </c>
      <c r="K1821" s="127" t="s">
        <v>1903</v>
      </c>
      <c r="L1821" s="179" t="s">
        <v>154</v>
      </c>
      <c r="M1821" s="390"/>
      <c r="N1821" s="390"/>
    </row>
    <row r="1822" spans="1:14" ht="15.6" hidden="1">
      <c r="A1822" s="378">
        <v>45894</v>
      </c>
      <c r="B1822" s="179" t="s">
        <v>2459</v>
      </c>
      <c r="C1822" s="179" t="s">
        <v>173</v>
      </c>
      <c r="D1822" s="179" t="s">
        <v>117</v>
      </c>
      <c r="E1822" s="332">
        <v>1000</v>
      </c>
      <c r="F1822" s="317">
        <f t="shared" si="18"/>
        <v>1.7827155035636482</v>
      </c>
      <c r="G1822" s="318">
        <v>560.94200000000001</v>
      </c>
      <c r="H1822" s="179" t="s">
        <v>583</v>
      </c>
      <c r="I1822" s="179" t="s">
        <v>2464</v>
      </c>
      <c r="J1822" s="179" t="s">
        <v>97</v>
      </c>
      <c r="K1822" s="127" t="s">
        <v>1903</v>
      </c>
      <c r="L1822" s="179" t="s">
        <v>154</v>
      </c>
      <c r="M1822" s="390"/>
      <c r="N1822" s="390"/>
    </row>
    <row r="1823" spans="1:14" ht="15.6" hidden="1">
      <c r="A1823" s="378">
        <v>45894</v>
      </c>
      <c r="B1823" s="179" t="s">
        <v>2460</v>
      </c>
      <c r="C1823" s="179" t="s">
        <v>173</v>
      </c>
      <c r="D1823" s="179" t="s">
        <v>117</v>
      </c>
      <c r="E1823" s="332">
        <v>1000</v>
      </c>
      <c r="F1823" s="317">
        <f t="shared" si="18"/>
        <v>1.7827155035636482</v>
      </c>
      <c r="G1823" s="318">
        <v>560.94200000000001</v>
      </c>
      <c r="H1823" s="179" t="s">
        <v>583</v>
      </c>
      <c r="I1823" s="179" t="s">
        <v>2464</v>
      </c>
      <c r="J1823" s="179" t="s">
        <v>97</v>
      </c>
      <c r="K1823" s="127" t="s">
        <v>1903</v>
      </c>
      <c r="L1823" s="179" t="s">
        <v>154</v>
      </c>
      <c r="M1823" s="390"/>
      <c r="N1823" s="390"/>
    </row>
    <row r="1824" spans="1:14" ht="15.6" hidden="1">
      <c r="A1824" s="381">
        <v>45894</v>
      </c>
      <c r="B1824" s="401" t="s">
        <v>2358</v>
      </c>
      <c r="C1824" s="401" t="s">
        <v>181</v>
      </c>
      <c r="D1824" s="401" t="s">
        <v>117</v>
      </c>
      <c r="E1824" s="402">
        <v>12985</v>
      </c>
      <c r="F1824" s="317">
        <f t="shared" si="18"/>
        <v>23.148560813773972</v>
      </c>
      <c r="G1824" s="318">
        <v>560.94200000000001</v>
      </c>
      <c r="H1824" s="401" t="s">
        <v>583</v>
      </c>
      <c r="I1824" s="398" t="s">
        <v>2359</v>
      </c>
      <c r="J1824" s="179" t="s">
        <v>97</v>
      </c>
      <c r="K1824" s="127" t="s">
        <v>1903</v>
      </c>
      <c r="L1824" s="179" t="s">
        <v>154</v>
      </c>
      <c r="M1824" s="390"/>
      <c r="N1824" s="390"/>
    </row>
    <row r="1825" spans="1:14" ht="15.6" hidden="1">
      <c r="A1825" s="241">
        <v>45894</v>
      </c>
      <c r="B1825" s="174" t="s">
        <v>3807</v>
      </c>
      <c r="C1825" s="174" t="s">
        <v>176</v>
      </c>
      <c r="D1825" s="179" t="s">
        <v>442</v>
      </c>
      <c r="E1825" s="174">
        <v>135000</v>
      </c>
      <c r="F1825" s="317">
        <f t="shared" si="18"/>
        <v>240.66659298109252</v>
      </c>
      <c r="G1825" s="318">
        <v>560.94200000000001</v>
      </c>
      <c r="H1825" s="174" t="s">
        <v>183</v>
      </c>
      <c r="I1825" s="174" t="s">
        <v>2482</v>
      </c>
      <c r="J1825" s="179" t="s">
        <v>97</v>
      </c>
      <c r="K1825" s="127" t="s">
        <v>1903</v>
      </c>
      <c r="L1825" s="179" t="s">
        <v>154</v>
      </c>
      <c r="M1825"/>
      <c r="N1825"/>
    </row>
    <row r="1826" spans="1:14" ht="15.6" hidden="1">
      <c r="A1826" s="241">
        <v>45894</v>
      </c>
      <c r="B1826" s="389" t="s">
        <v>3757</v>
      </c>
      <c r="C1826" s="389" t="s">
        <v>173</v>
      </c>
      <c r="D1826" s="179" t="s">
        <v>442</v>
      </c>
      <c r="E1826" s="389">
        <v>350000</v>
      </c>
      <c r="F1826" s="317">
        <f t="shared" si="18"/>
        <v>623.95042624727694</v>
      </c>
      <c r="G1826" s="318">
        <v>560.94200000000001</v>
      </c>
      <c r="H1826" s="389" t="s">
        <v>183</v>
      </c>
      <c r="I1826" s="389" t="s">
        <v>2483</v>
      </c>
      <c r="J1826" s="179" t="s">
        <v>97</v>
      </c>
      <c r="K1826" s="127" t="s">
        <v>1903</v>
      </c>
      <c r="L1826" s="179" t="s">
        <v>154</v>
      </c>
      <c r="M1826"/>
      <c r="N1826"/>
    </row>
    <row r="1827" spans="1:14" ht="15.6" hidden="1">
      <c r="A1827" s="241">
        <v>45894</v>
      </c>
      <c r="B1827" s="174" t="s">
        <v>3808</v>
      </c>
      <c r="C1827" s="174" t="s">
        <v>173</v>
      </c>
      <c r="D1827" s="179" t="s">
        <v>442</v>
      </c>
      <c r="E1827" s="174">
        <v>1000</v>
      </c>
      <c r="F1827" s="317">
        <f t="shared" si="18"/>
        <v>1.7827155035636482</v>
      </c>
      <c r="G1827" s="318">
        <v>560.94200000000001</v>
      </c>
      <c r="H1827" s="174" t="s">
        <v>183</v>
      </c>
      <c r="I1827" s="174" t="s">
        <v>2473</v>
      </c>
      <c r="J1827" s="179" t="s">
        <v>97</v>
      </c>
      <c r="K1827" s="127" t="s">
        <v>1903</v>
      </c>
      <c r="L1827" s="179" t="s">
        <v>154</v>
      </c>
      <c r="M1827"/>
      <c r="N1827"/>
    </row>
    <row r="1828" spans="1:14" ht="15.6" hidden="1">
      <c r="A1828" s="375">
        <v>45894</v>
      </c>
      <c r="B1828" s="179" t="s">
        <v>2682</v>
      </c>
      <c r="C1828" s="396" t="s">
        <v>195</v>
      </c>
      <c r="D1828" s="396" t="s">
        <v>116</v>
      </c>
      <c r="E1828" s="369">
        <v>500</v>
      </c>
      <c r="F1828" s="317">
        <f t="shared" si="18"/>
        <v>0.89135775178182408</v>
      </c>
      <c r="G1828" s="318">
        <v>560.94200000000001</v>
      </c>
      <c r="H1828" s="256" t="s">
        <v>196</v>
      </c>
      <c r="I1828" s="398" t="s">
        <v>2707</v>
      </c>
      <c r="J1828" s="179" t="s">
        <v>97</v>
      </c>
      <c r="K1828" s="127" t="s">
        <v>1903</v>
      </c>
      <c r="L1828" s="179" t="s">
        <v>154</v>
      </c>
      <c r="M1828"/>
      <c r="N1828"/>
    </row>
    <row r="1829" spans="1:14" ht="15.6" hidden="1">
      <c r="A1829" s="375">
        <v>45894</v>
      </c>
      <c r="B1829" s="179" t="s">
        <v>1090</v>
      </c>
      <c r="C1829" s="396" t="s">
        <v>195</v>
      </c>
      <c r="D1829" s="174" t="s">
        <v>2088</v>
      </c>
      <c r="E1829" s="369">
        <v>25000</v>
      </c>
      <c r="F1829" s="317">
        <f t="shared" si="18"/>
        <v>44.567887589091207</v>
      </c>
      <c r="G1829" s="318">
        <v>560.94200000000001</v>
      </c>
      <c r="H1829" s="256" t="s">
        <v>196</v>
      </c>
      <c r="I1829" s="179" t="s">
        <v>2714</v>
      </c>
      <c r="J1829" s="179" t="s">
        <v>97</v>
      </c>
      <c r="K1829" s="127" t="s">
        <v>1903</v>
      </c>
      <c r="L1829" s="179" t="s">
        <v>154</v>
      </c>
      <c r="M1829"/>
      <c r="N1829"/>
    </row>
    <row r="1830" spans="1:14" ht="15.6" hidden="1">
      <c r="A1830" s="375">
        <v>45894</v>
      </c>
      <c r="B1830" s="179" t="s">
        <v>1814</v>
      </c>
      <c r="C1830" s="396" t="s">
        <v>176</v>
      </c>
      <c r="D1830" s="396" t="s">
        <v>116</v>
      </c>
      <c r="E1830" s="369">
        <v>23250</v>
      </c>
      <c r="F1830" s="317">
        <f t="shared" si="18"/>
        <v>41.448135457854825</v>
      </c>
      <c r="G1830" s="318">
        <v>560.94200000000001</v>
      </c>
      <c r="H1830" s="256" t="s">
        <v>196</v>
      </c>
      <c r="I1830" s="179" t="s">
        <v>2715</v>
      </c>
      <c r="J1830" s="179" t="s">
        <v>97</v>
      </c>
      <c r="K1830" s="127" t="s">
        <v>1903</v>
      </c>
      <c r="L1830" s="179" t="s">
        <v>154</v>
      </c>
      <c r="M1830"/>
      <c r="N1830"/>
    </row>
    <row r="1831" spans="1:14" ht="15.6" hidden="1">
      <c r="A1831" s="375">
        <v>45894</v>
      </c>
      <c r="B1831" s="179" t="s">
        <v>2683</v>
      </c>
      <c r="C1831" s="396" t="s">
        <v>195</v>
      </c>
      <c r="D1831" s="396" t="s">
        <v>116</v>
      </c>
      <c r="E1831" s="369">
        <v>500</v>
      </c>
      <c r="F1831" s="317">
        <f t="shared" si="18"/>
        <v>0.89135775178182408</v>
      </c>
      <c r="G1831" s="318">
        <v>560.94200000000001</v>
      </c>
      <c r="H1831" s="256" t="s">
        <v>196</v>
      </c>
      <c r="I1831" s="398" t="s">
        <v>2707</v>
      </c>
      <c r="J1831" s="179" t="s">
        <v>97</v>
      </c>
      <c r="K1831" s="127" t="s">
        <v>1903</v>
      </c>
      <c r="L1831" s="179" t="s">
        <v>154</v>
      </c>
      <c r="M1831"/>
      <c r="N1831"/>
    </row>
    <row r="1832" spans="1:14" ht="15.6" hidden="1">
      <c r="A1832" s="375">
        <v>45894</v>
      </c>
      <c r="B1832" s="179" t="s">
        <v>2684</v>
      </c>
      <c r="C1832" s="396" t="s">
        <v>195</v>
      </c>
      <c r="D1832" s="396" t="s">
        <v>116</v>
      </c>
      <c r="E1832" s="369">
        <v>500</v>
      </c>
      <c r="F1832" s="317">
        <f t="shared" si="18"/>
        <v>0.89135775178182408</v>
      </c>
      <c r="G1832" s="318">
        <v>560.94200000000001</v>
      </c>
      <c r="H1832" s="256" t="s">
        <v>196</v>
      </c>
      <c r="I1832" s="398" t="s">
        <v>2707</v>
      </c>
      <c r="J1832" s="179" t="s">
        <v>97</v>
      </c>
      <c r="K1832" s="127" t="s">
        <v>1903</v>
      </c>
      <c r="L1832" s="179" t="s">
        <v>154</v>
      </c>
      <c r="M1832"/>
      <c r="N1832"/>
    </row>
    <row r="1833" spans="1:14" ht="15.6" hidden="1">
      <c r="A1833" s="375">
        <v>45894</v>
      </c>
      <c r="B1833" s="179" t="s">
        <v>2685</v>
      </c>
      <c r="C1833" s="179" t="s">
        <v>312</v>
      </c>
      <c r="D1833" s="396" t="s">
        <v>116</v>
      </c>
      <c r="E1833" s="369">
        <v>1500</v>
      </c>
      <c r="F1833" s="317">
        <f t="shared" si="18"/>
        <v>2.6740732553454722</v>
      </c>
      <c r="G1833" s="318">
        <v>560.94200000000001</v>
      </c>
      <c r="H1833" s="256" t="s">
        <v>196</v>
      </c>
      <c r="I1833" s="398" t="s">
        <v>2716</v>
      </c>
      <c r="J1833" s="179" t="s">
        <v>97</v>
      </c>
      <c r="K1833" s="127" t="s">
        <v>1903</v>
      </c>
      <c r="L1833" s="179" t="s">
        <v>154</v>
      </c>
      <c r="M1833"/>
      <c r="N1833"/>
    </row>
    <row r="1834" spans="1:14" ht="15.6" hidden="1">
      <c r="A1834" s="375">
        <v>45894</v>
      </c>
      <c r="B1834" s="179" t="s">
        <v>2686</v>
      </c>
      <c r="C1834" s="396" t="s">
        <v>195</v>
      </c>
      <c r="D1834" s="396" t="s">
        <v>116</v>
      </c>
      <c r="E1834" s="369">
        <v>500</v>
      </c>
      <c r="F1834" s="317">
        <f t="shared" si="18"/>
        <v>0.89135775178182408</v>
      </c>
      <c r="G1834" s="318">
        <v>560.94200000000001</v>
      </c>
      <c r="H1834" s="256" t="s">
        <v>196</v>
      </c>
      <c r="I1834" s="398" t="s">
        <v>2707</v>
      </c>
      <c r="J1834" s="179" t="s">
        <v>97</v>
      </c>
      <c r="K1834" s="127" t="s">
        <v>1903</v>
      </c>
      <c r="L1834" s="179" t="s">
        <v>154</v>
      </c>
      <c r="M1834"/>
      <c r="N1834"/>
    </row>
    <row r="1835" spans="1:14" ht="15.6" hidden="1">
      <c r="A1835" s="376">
        <v>45894</v>
      </c>
      <c r="B1835" s="179" t="s">
        <v>2729</v>
      </c>
      <c r="C1835" s="179" t="s">
        <v>173</v>
      </c>
      <c r="D1835" s="179" t="s">
        <v>119</v>
      </c>
      <c r="E1835" s="369">
        <v>500</v>
      </c>
      <c r="F1835" s="317">
        <f t="shared" ref="F1835:F1850" si="19">E1835/G1835</f>
        <v>0.89135775178182408</v>
      </c>
      <c r="G1835" s="318">
        <v>560.94200000000001</v>
      </c>
      <c r="H1835" s="179" t="s">
        <v>212</v>
      </c>
      <c r="I1835" s="179" t="s">
        <v>2739</v>
      </c>
      <c r="J1835" s="179" t="s">
        <v>97</v>
      </c>
      <c r="K1835" s="127" t="s">
        <v>1903</v>
      </c>
      <c r="L1835" s="179" t="s">
        <v>154</v>
      </c>
      <c r="M1835"/>
      <c r="N1835"/>
    </row>
    <row r="1836" spans="1:14" ht="15.6" hidden="1">
      <c r="A1836" s="376">
        <v>45894</v>
      </c>
      <c r="B1836" s="179" t="s">
        <v>2730</v>
      </c>
      <c r="C1836" s="179" t="s">
        <v>173</v>
      </c>
      <c r="D1836" s="179" t="s">
        <v>119</v>
      </c>
      <c r="E1836" s="369">
        <v>500</v>
      </c>
      <c r="F1836" s="317">
        <f t="shared" si="19"/>
        <v>0.89135775178182408</v>
      </c>
      <c r="G1836" s="318">
        <v>560.94200000000001</v>
      </c>
      <c r="H1836" s="179" t="s">
        <v>212</v>
      </c>
      <c r="I1836" s="179" t="s">
        <v>2739</v>
      </c>
      <c r="J1836" s="179" t="s">
        <v>97</v>
      </c>
      <c r="K1836" s="127" t="s">
        <v>1903</v>
      </c>
      <c r="L1836" s="179" t="s">
        <v>154</v>
      </c>
      <c r="M1836"/>
      <c r="N1836"/>
    </row>
    <row r="1837" spans="1:14" ht="15.6" hidden="1">
      <c r="A1837" s="376">
        <v>45894</v>
      </c>
      <c r="B1837" s="179" t="s">
        <v>2731</v>
      </c>
      <c r="C1837" s="179" t="s">
        <v>176</v>
      </c>
      <c r="D1837" s="179" t="s">
        <v>119</v>
      </c>
      <c r="E1837" s="369">
        <v>10000</v>
      </c>
      <c r="F1837" s="317">
        <f t="shared" si="19"/>
        <v>17.827155035636483</v>
      </c>
      <c r="G1837" s="318">
        <v>560.94200000000001</v>
      </c>
      <c r="H1837" s="179" t="s">
        <v>212</v>
      </c>
      <c r="I1837" s="398" t="s">
        <v>2746</v>
      </c>
      <c r="J1837" s="179" t="s">
        <v>97</v>
      </c>
      <c r="K1837" s="127" t="s">
        <v>1903</v>
      </c>
      <c r="L1837" s="179" t="s">
        <v>154</v>
      </c>
      <c r="M1837"/>
      <c r="N1837"/>
    </row>
    <row r="1838" spans="1:14" ht="15.6" hidden="1">
      <c r="A1838" s="376">
        <v>45894</v>
      </c>
      <c r="B1838" s="179" t="s">
        <v>2732</v>
      </c>
      <c r="C1838" s="179" t="s">
        <v>173</v>
      </c>
      <c r="D1838" s="179" t="s">
        <v>119</v>
      </c>
      <c r="E1838" s="369">
        <v>500</v>
      </c>
      <c r="F1838" s="317">
        <f t="shared" si="19"/>
        <v>0.89135775178182408</v>
      </c>
      <c r="G1838" s="318">
        <v>560.94200000000001</v>
      </c>
      <c r="H1838" s="179" t="s">
        <v>212</v>
      </c>
      <c r="I1838" s="398" t="s">
        <v>2739</v>
      </c>
      <c r="J1838" s="179" t="s">
        <v>97</v>
      </c>
      <c r="K1838" s="127" t="s">
        <v>1903</v>
      </c>
      <c r="L1838" s="179" t="s">
        <v>154</v>
      </c>
      <c r="M1838"/>
      <c r="N1838"/>
    </row>
    <row r="1839" spans="1:14" ht="15.6" hidden="1">
      <c r="A1839" s="381">
        <v>45894</v>
      </c>
      <c r="B1839" s="179" t="s">
        <v>2354</v>
      </c>
      <c r="C1839" s="179" t="s">
        <v>1543</v>
      </c>
      <c r="D1839" s="179" t="s">
        <v>117</v>
      </c>
      <c r="E1839" s="332">
        <v>35000</v>
      </c>
      <c r="F1839" s="317">
        <f t="shared" si="19"/>
        <v>62.395042624727687</v>
      </c>
      <c r="G1839" s="318">
        <v>560.94200000000001</v>
      </c>
      <c r="H1839" s="179" t="s">
        <v>186</v>
      </c>
      <c r="I1839" s="179" t="s">
        <v>2355</v>
      </c>
      <c r="J1839" s="179" t="s">
        <v>97</v>
      </c>
      <c r="K1839" s="127" t="s">
        <v>1903</v>
      </c>
      <c r="L1839" s="179" t="s">
        <v>154</v>
      </c>
      <c r="M1839"/>
      <c r="N1839"/>
    </row>
    <row r="1840" spans="1:14" ht="15.6" hidden="1">
      <c r="A1840" s="381">
        <v>45894</v>
      </c>
      <c r="B1840" s="179" t="s">
        <v>2356</v>
      </c>
      <c r="C1840" s="179" t="s">
        <v>303</v>
      </c>
      <c r="D1840" s="179" t="s">
        <v>117</v>
      </c>
      <c r="E1840" s="332">
        <v>5000</v>
      </c>
      <c r="F1840" s="317">
        <f t="shared" si="19"/>
        <v>8.9135775178182417</v>
      </c>
      <c r="G1840" s="318">
        <v>560.94200000000001</v>
      </c>
      <c r="H1840" s="179" t="s">
        <v>186</v>
      </c>
      <c r="I1840" s="398" t="s">
        <v>2357</v>
      </c>
      <c r="J1840" s="179" t="s">
        <v>97</v>
      </c>
      <c r="K1840" s="127" t="s">
        <v>1903</v>
      </c>
      <c r="L1840" s="179" t="s">
        <v>154</v>
      </c>
      <c r="M1840"/>
      <c r="N1840"/>
    </row>
    <row r="1841" spans="1:14" ht="15.6" hidden="1">
      <c r="A1841" s="385">
        <v>45894</v>
      </c>
      <c r="B1841" s="328" t="s">
        <v>2770</v>
      </c>
      <c r="C1841" s="179" t="s">
        <v>126</v>
      </c>
      <c r="D1841" s="179" t="s">
        <v>117</v>
      </c>
      <c r="E1841" s="332">
        <v>258800</v>
      </c>
      <c r="F1841" s="317">
        <f t="shared" si="19"/>
        <v>461.3667723222722</v>
      </c>
      <c r="G1841" s="318">
        <v>560.94200000000001</v>
      </c>
      <c r="H1841" s="179" t="s">
        <v>147</v>
      </c>
      <c r="I1841" s="398" t="s">
        <v>2788</v>
      </c>
      <c r="J1841" s="179" t="s">
        <v>97</v>
      </c>
      <c r="K1841" s="127" t="s">
        <v>1903</v>
      </c>
      <c r="L1841" s="179" t="s">
        <v>154</v>
      </c>
      <c r="M1841"/>
      <c r="N1841"/>
    </row>
    <row r="1842" spans="1:14" ht="15.6" hidden="1">
      <c r="A1842" s="385">
        <v>45894</v>
      </c>
      <c r="B1842" s="328" t="s">
        <v>2771</v>
      </c>
      <c r="C1842" s="179" t="s">
        <v>126</v>
      </c>
      <c r="D1842" s="342" t="s">
        <v>116</v>
      </c>
      <c r="E1842" s="332">
        <v>228800</v>
      </c>
      <c r="F1842" s="317">
        <f t="shared" si="19"/>
        <v>407.88530721536273</v>
      </c>
      <c r="G1842" s="318">
        <v>560.94200000000001</v>
      </c>
      <c r="H1842" s="179" t="s">
        <v>147</v>
      </c>
      <c r="I1842" s="179" t="s">
        <v>2789</v>
      </c>
      <c r="J1842" s="179" t="s">
        <v>97</v>
      </c>
      <c r="K1842" s="127" t="s">
        <v>1903</v>
      </c>
      <c r="L1842" s="179" t="s">
        <v>154</v>
      </c>
      <c r="M1842"/>
      <c r="N1842"/>
    </row>
    <row r="1843" spans="1:14" ht="15.6" hidden="1">
      <c r="A1843" s="385">
        <v>45894</v>
      </c>
      <c r="B1843" s="328" t="s">
        <v>2772</v>
      </c>
      <c r="C1843" s="336" t="s">
        <v>126</v>
      </c>
      <c r="D1843" s="341" t="s">
        <v>116</v>
      </c>
      <c r="E1843" s="332">
        <v>228800</v>
      </c>
      <c r="F1843" s="317">
        <f t="shared" si="19"/>
        <v>407.88530721536273</v>
      </c>
      <c r="G1843" s="318">
        <v>560.94200000000001</v>
      </c>
      <c r="H1843" s="179" t="s">
        <v>147</v>
      </c>
      <c r="I1843" s="179" t="s">
        <v>2790</v>
      </c>
      <c r="J1843" s="179" t="s">
        <v>97</v>
      </c>
      <c r="K1843" s="127" t="s">
        <v>1903</v>
      </c>
      <c r="L1843" s="179" t="s">
        <v>154</v>
      </c>
      <c r="M1843"/>
      <c r="N1843"/>
    </row>
    <row r="1844" spans="1:14" ht="15.6" hidden="1">
      <c r="A1844" s="385">
        <v>45894</v>
      </c>
      <c r="B1844" s="328" t="s">
        <v>2773</v>
      </c>
      <c r="C1844" s="336" t="s">
        <v>126</v>
      </c>
      <c r="D1844" s="341" t="s">
        <v>116</v>
      </c>
      <c r="E1844" s="332">
        <v>390827</v>
      </c>
      <c r="F1844" s="317">
        <f t="shared" si="19"/>
        <v>696.73335211126994</v>
      </c>
      <c r="G1844" s="318">
        <v>560.94200000000001</v>
      </c>
      <c r="H1844" s="179" t="s">
        <v>147</v>
      </c>
      <c r="I1844" s="179" t="s">
        <v>2791</v>
      </c>
      <c r="J1844" s="179" t="s">
        <v>97</v>
      </c>
      <c r="K1844" s="127" t="s">
        <v>1903</v>
      </c>
      <c r="L1844" s="179" t="s">
        <v>154</v>
      </c>
      <c r="M1844"/>
      <c r="N1844"/>
    </row>
    <row r="1845" spans="1:14" ht="15.6" hidden="1">
      <c r="A1845" s="385">
        <v>45894</v>
      </c>
      <c r="B1845" s="328" t="s">
        <v>2774</v>
      </c>
      <c r="C1845" s="179" t="s">
        <v>126</v>
      </c>
      <c r="D1845" s="336" t="s">
        <v>116</v>
      </c>
      <c r="E1845" s="332">
        <v>328000</v>
      </c>
      <c r="F1845" s="317">
        <f t="shared" si="19"/>
        <v>584.73068516887668</v>
      </c>
      <c r="G1845" s="318">
        <v>560.94200000000001</v>
      </c>
      <c r="H1845" s="179" t="s">
        <v>147</v>
      </c>
      <c r="I1845" s="179" t="s">
        <v>2792</v>
      </c>
      <c r="J1845" s="179" t="s">
        <v>97</v>
      </c>
      <c r="K1845" s="127" t="s">
        <v>1903</v>
      </c>
      <c r="L1845" s="179" t="s">
        <v>154</v>
      </c>
      <c r="M1845"/>
      <c r="N1845"/>
    </row>
    <row r="1846" spans="1:14" ht="15.6" hidden="1">
      <c r="A1846" s="385">
        <v>45894</v>
      </c>
      <c r="B1846" s="328" t="s">
        <v>2775</v>
      </c>
      <c r="C1846" s="179" t="s">
        <v>126</v>
      </c>
      <c r="D1846" s="336" t="s">
        <v>119</v>
      </c>
      <c r="E1846" s="332">
        <v>266940</v>
      </c>
      <c r="F1846" s="317">
        <f t="shared" si="19"/>
        <v>475.87807652128026</v>
      </c>
      <c r="G1846" s="318">
        <v>560.94200000000001</v>
      </c>
      <c r="H1846" s="179" t="s">
        <v>147</v>
      </c>
      <c r="I1846" s="179" t="s">
        <v>2793</v>
      </c>
      <c r="J1846" s="179" t="s">
        <v>97</v>
      </c>
      <c r="K1846" s="127" t="s">
        <v>1903</v>
      </c>
      <c r="L1846" s="179" t="s">
        <v>154</v>
      </c>
      <c r="M1846"/>
      <c r="N1846"/>
    </row>
    <row r="1847" spans="1:14" ht="15.6" hidden="1">
      <c r="A1847" s="385">
        <v>45894</v>
      </c>
      <c r="B1847" s="328" t="s">
        <v>2776</v>
      </c>
      <c r="C1847" s="179" t="s">
        <v>126</v>
      </c>
      <c r="D1847" s="179" t="s">
        <v>116</v>
      </c>
      <c r="E1847" s="332">
        <v>228800</v>
      </c>
      <c r="F1847" s="317">
        <f t="shared" si="19"/>
        <v>407.88530721536273</v>
      </c>
      <c r="G1847" s="318">
        <v>560.94200000000001</v>
      </c>
      <c r="H1847" s="179" t="s">
        <v>147</v>
      </c>
      <c r="I1847" s="179" t="s">
        <v>2794</v>
      </c>
      <c r="J1847" s="179" t="s">
        <v>97</v>
      </c>
      <c r="K1847" s="127" t="s">
        <v>1903</v>
      </c>
      <c r="L1847" s="179" t="s">
        <v>154</v>
      </c>
      <c r="M1847"/>
      <c r="N1847"/>
    </row>
    <row r="1848" spans="1:14" ht="15.6" hidden="1">
      <c r="A1848" s="385">
        <v>45894</v>
      </c>
      <c r="B1848" s="328" t="s">
        <v>2777</v>
      </c>
      <c r="C1848" s="336" t="s">
        <v>126</v>
      </c>
      <c r="D1848" s="341" t="s">
        <v>118</v>
      </c>
      <c r="E1848" s="332">
        <v>1311000</v>
      </c>
      <c r="F1848" s="317">
        <f t="shared" si="19"/>
        <v>2337.1400251719429</v>
      </c>
      <c r="G1848" s="318">
        <v>560.94200000000001</v>
      </c>
      <c r="H1848" s="179" t="s">
        <v>147</v>
      </c>
      <c r="I1848" s="179" t="s">
        <v>2795</v>
      </c>
      <c r="J1848" s="179" t="s">
        <v>97</v>
      </c>
      <c r="K1848" s="127" t="s">
        <v>1903</v>
      </c>
      <c r="L1848" s="179" t="s">
        <v>154</v>
      </c>
      <c r="M1848"/>
      <c r="N1848"/>
    </row>
    <row r="1849" spans="1:14" ht="15.6" hidden="1">
      <c r="A1849" s="385">
        <v>45894</v>
      </c>
      <c r="B1849" s="328" t="s">
        <v>2779</v>
      </c>
      <c r="C1849" s="179" t="s">
        <v>127</v>
      </c>
      <c r="D1849" s="336" t="s">
        <v>117</v>
      </c>
      <c r="E1849" s="332">
        <v>10665</v>
      </c>
      <c r="F1849" s="317">
        <f t="shared" si="19"/>
        <v>19.012660845506307</v>
      </c>
      <c r="G1849" s="318">
        <v>560.94200000000001</v>
      </c>
      <c r="H1849" s="179" t="s">
        <v>147</v>
      </c>
      <c r="I1849" s="179" t="s">
        <v>2796</v>
      </c>
      <c r="J1849" s="179" t="s">
        <v>97</v>
      </c>
      <c r="K1849" s="127" t="s">
        <v>1903</v>
      </c>
      <c r="L1849" s="179" t="s">
        <v>154</v>
      </c>
      <c r="M1849"/>
      <c r="N1849"/>
    </row>
    <row r="1850" spans="1:14" ht="15.6" hidden="1">
      <c r="A1850" s="372">
        <v>45895</v>
      </c>
      <c r="B1850" s="396" t="s">
        <v>2100</v>
      </c>
      <c r="C1850" s="303" t="s">
        <v>173</v>
      </c>
      <c r="D1850" s="303" t="s">
        <v>118</v>
      </c>
      <c r="E1850" s="396">
        <v>1000</v>
      </c>
      <c r="F1850" s="317">
        <f t="shared" si="19"/>
        <v>1.7827155035636482</v>
      </c>
      <c r="G1850" s="318">
        <v>560.94200000000001</v>
      </c>
      <c r="H1850" s="403" t="s">
        <v>152</v>
      </c>
      <c r="I1850" s="404" t="s">
        <v>2425</v>
      </c>
      <c r="J1850" s="179" t="s">
        <v>97</v>
      </c>
      <c r="K1850" s="127" t="s">
        <v>1903</v>
      </c>
      <c r="L1850" s="179" t="s">
        <v>154</v>
      </c>
      <c r="M1850" s="390"/>
      <c r="N1850" s="390"/>
    </row>
    <row r="1851" spans="1:14" ht="15.6" hidden="1">
      <c r="A1851" s="372">
        <v>45895</v>
      </c>
      <c r="B1851" s="396" t="s">
        <v>2101</v>
      </c>
      <c r="C1851" s="303" t="s">
        <v>173</v>
      </c>
      <c r="D1851" s="303" t="s">
        <v>118</v>
      </c>
      <c r="E1851" s="396">
        <v>1000</v>
      </c>
      <c r="F1851" s="317"/>
      <c r="G1851" s="318">
        <v>560.94200000000001</v>
      </c>
      <c r="H1851" s="403" t="s">
        <v>152</v>
      </c>
      <c r="I1851" s="404" t="s">
        <v>2425</v>
      </c>
      <c r="J1851" s="179" t="s">
        <v>97</v>
      </c>
      <c r="K1851" s="127" t="s">
        <v>1903</v>
      </c>
      <c r="L1851" s="179" t="s">
        <v>154</v>
      </c>
      <c r="M1851" s="392"/>
      <c r="N1851" s="390"/>
    </row>
    <row r="1852" spans="1:14" ht="15.6" hidden="1">
      <c r="A1852" s="374">
        <v>45895</v>
      </c>
      <c r="B1852" s="395" t="s">
        <v>2415</v>
      </c>
      <c r="C1852" s="395" t="s">
        <v>173</v>
      </c>
      <c r="D1852" s="395" t="s">
        <v>116</v>
      </c>
      <c r="E1852" s="405">
        <v>500</v>
      </c>
      <c r="F1852" s="317">
        <f t="shared" ref="F1852:F1899" si="20">E1852/G1852</f>
        <v>0.89135775178182408</v>
      </c>
      <c r="G1852" s="318">
        <v>560.94200000000001</v>
      </c>
      <c r="H1852" s="174" t="s">
        <v>199</v>
      </c>
      <c r="I1852" s="395" t="s">
        <v>2423</v>
      </c>
      <c r="J1852" s="179" t="s">
        <v>97</v>
      </c>
      <c r="K1852" s="127" t="s">
        <v>1903</v>
      </c>
      <c r="L1852" s="179" t="s">
        <v>154</v>
      </c>
      <c r="M1852" s="390"/>
      <c r="N1852" s="390"/>
    </row>
    <row r="1853" spans="1:14" ht="15.6" hidden="1">
      <c r="A1853" s="241">
        <v>45895</v>
      </c>
      <c r="B1853" s="174" t="s">
        <v>2416</v>
      </c>
      <c r="C1853" s="174" t="s">
        <v>2391</v>
      </c>
      <c r="D1853" s="174" t="s">
        <v>2088</v>
      </c>
      <c r="E1853" s="406">
        <v>160000</v>
      </c>
      <c r="F1853" s="317">
        <f t="shared" si="20"/>
        <v>285.23448057018373</v>
      </c>
      <c r="G1853" s="318">
        <v>560.94200000000001</v>
      </c>
      <c r="H1853" s="174" t="s">
        <v>199</v>
      </c>
      <c r="I1853" s="395" t="s">
        <v>2845</v>
      </c>
      <c r="J1853" s="179" t="s">
        <v>97</v>
      </c>
      <c r="K1853" s="127" t="s">
        <v>1903</v>
      </c>
      <c r="L1853" s="179" t="s">
        <v>154</v>
      </c>
      <c r="M1853" s="390"/>
      <c r="N1853" s="390"/>
    </row>
    <row r="1854" spans="1:14" ht="15.6" hidden="1">
      <c r="A1854" s="241">
        <v>45895</v>
      </c>
      <c r="B1854" s="174" t="s">
        <v>2417</v>
      </c>
      <c r="C1854" s="174" t="s">
        <v>2391</v>
      </c>
      <c r="D1854" s="174" t="s">
        <v>2088</v>
      </c>
      <c r="E1854" s="406">
        <v>20000</v>
      </c>
      <c r="F1854" s="317">
        <f t="shared" si="20"/>
        <v>35.654310071272967</v>
      </c>
      <c r="G1854" s="318">
        <v>560.94200000000001</v>
      </c>
      <c r="H1854" s="174" t="s">
        <v>199</v>
      </c>
      <c r="I1854" s="395" t="s">
        <v>2846</v>
      </c>
      <c r="J1854" s="179" t="s">
        <v>97</v>
      </c>
      <c r="K1854" s="127" t="s">
        <v>1903</v>
      </c>
      <c r="L1854" s="179" t="s">
        <v>154</v>
      </c>
      <c r="M1854" s="390"/>
      <c r="N1854" s="390"/>
    </row>
    <row r="1855" spans="1:14" ht="15.6" hidden="1">
      <c r="A1855" s="374">
        <v>45895</v>
      </c>
      <c r="B1855" s="395" t="s">
        <v>2418</v>
      </c>
      <c r="C1855" s="395" t="s">
        <v>173</v>
      </c>
      <c r="D1855" s="395" t="s">
        <v>116</v>
      </c>
      <c r="E1855" s="405">
        <v>500</v>
      </c>
      <c r="F1855" s="317">
        <f t="shared" si="20"/>
        <v>0.89135775178182408</v>
      </c>
      <c r="G1855" s="318">
        <v>560.94200000000001</v>
      </c>
      <c r="H1855" s="174" t="s">
        <v>199</v>
      </c>
      <c r="I1855" s="395" t="s">
        <v>2423</v>
      </c>
      <c r="J1855" s="179" t="s">
        <v>97</v>
      </c>
      <c r="K1855" s="127" t="s">
        <v>1903</v>
      </c>
      <c r="L1855" s="179" t="s">
        <v>154</v>
      </c>
      <c r="M1855" s="390"/>
      <c r="N1855" s="390"/>
    </row>
    <row r="1856" spans="1:14" ht="15.6" hidden="1">
      <c r="A1856" s="378">
        <v>45895</v>
      </c>
      <c r="B1856" s="179" t="s">
        <v>2461</v>
      </c>
      <c r="C1856" s="179" t="s">
        <v>173</v>
      </c>
      <c r="D1856" s="179" t="s">
        <v>117</v>
      </c>
      <c r="E1856" s="332">
        <v>500</v>
      </c>
      <c r="F1856" s="317">
        <f t="shared" si="20"/>
        <v>0.89135775178182408</v>
      </c>
      <c r="G1856" s="318">
        <v>560.94200000000001</v>
      </c>
      <c r="H1856" s="179" t="s">
        <v>583</v>
      </c>
      <c r="I1856" s="179" t="s">
        <v>2464</v>
      </c>
      <c r="J1856" s="179" t="s">
        <v>97</v>
      </c>
      <c r="K1856" s="127" t="s">
        <v>1903</v>
      </c>
      <c r="L1856" s="179" t="s">
        <v>154</v>
      </c>
      <c r="M1856" s="390"/>
      <c r="N1856" s="390"/>
    </row>
    <row r="1857" spans="1:14" ht="15.6" hidden="1">
      <c r="A1857" s="378">
        <v>45895</v>
      </c>
      <c r="B1857" s="179" t="s">
        <v>2452</v>
      </c>
      <c r="C1857" s="179" t="s">
        <v>173</v>
      </c>
      <c r="D1857" s="179" t="s">
        <v>117</v>
      </c>
      <c r="E1857" s="332">
        <v>500</v>
      </c>
      <c r="F1857" s="317">
        <f t="shared" si="20"/>
        <v>0.89135775178182408</v>
      </c>
      <c r="G1857" s="318">
        <v>560.94200000000001</v>
      </c>
      <c r="H1857" s="179" t="s">
        <v>583</v>
      </c>
      <c r="I1857" s="179" t="s">
        <v>2464</v>
      </c>
      <c r="J1857" s="179" t="s">
        <v>97</v>
      </c>
      <c r="K1857" s="127" t="s">
        <v>1903</v>
      </c>
      <c r="L1857" s="179" t="s">
        <v>154</v>
      </c>
      <c r="M1857" s="391"/>
      <c r="N1857" s="391"/>
    </row>
    <row r="1858" spans="1:14" ht="15.6" hidden="1">
      <c r="A1858" s="241">
        <v>45895</v>
      </c>
      <c r="B1858" s="174" t="s">
        <v>3770</v>
      </c>
      <c r="C1858" s="174" t="s">
        <v>176</v>
      </c>
      <c r="D1858" s="179" t="s">
        <v>442</v>
      </c>
      <c r="E1858" s="174">
        <v>75000</v>
      </c>
      <c r="F1858" s="317">
        <f t="shared" si="20"/>
        <v>133.70366276727361</v>
      </c>
      <c r="G1858" s="318">
        <v>560.94200000000001</v>
      </c>
      <c r="H1858" s="174" t="s">
        <v>183</v>
      </c>
      <c r="I1858" s="174" t="s">
        <v>2484</v>
      </c>
      <c r="J1858" s="179" t="s">
        <v>97</v>
      </c>
      <c r="K1858" s="127" t="s">
        <v>1903</v>
      </c>
      <c r="L1858" s="179" t="s">
        <v>154</v>
      </c>
      <c r="M1858"/>
      <c r="N1858"/>
    </row>
    <row r="1859" spans="1:14" ht="15.6" hidden="1">
      <c r="A1859" s="241">
        <v>45895</v>
      </c>
      <c r="B1859" s="174" t="s">
        <v>3762</v>
      </c>
      <c r="C1859" s="174" t="s">
        <v>176</v>
      </c>
      <c r="D1859" s="179" t="s">
        <v>442</v>
      </c>
      <c r="E1859" s="174">
        <v>75000</v>
      </c>
      <c r="F1859" s="317">
        <f t="shared" si="20"/>
        <v>133.70366276727361</v>
      </c>
      <c r="G1859" s="318">
        <v>560.94200000000001</v>
      </c>
      <c r="H1859" s="174" t="s">
        <v>183</v>
      </c>
      <c r="I1859" s="174" t="s">
        <v>2485</v>
      </c>
      <c r="J1859" s="179" t="s">
        <v>97</v>
      </c>
      <c r="K1859" s="127" t="s">
        <v>1903</v>
      </c>
      <c r="L1859" s="179" t="s">
        <v>154</v>
      </c>
      <c r="M1859"/>
      <c r="N1859"/>
    </row>
    <row r="1860" spans="1:14" ht="15.6" hidden="1">
      <c r="A1860" s="379">
        <v>45895</v>
      </c>
      <c r="B1860" s="179" t="s">
        <v>3726</v>
      </c>
      <c r="C1860" s="179" t="s">
        <v>173</v>
      </c>
      <c r="D1860" s="179" t="s">
        <v>442</v>
      </c>
      <c r="E1860" s="179">
        <v>500</v>
      </c>
      <c r="F1860" s="317">
        <f t="shared" si="20"/>
        <v>0.89135775178182408</v>
      </c>
      <c r="G1860" s="318">
        <v>560.94200000000001</v>
      </c>
      <c r="H1860" s="179" t="s">
        <v>174</v>
      </c>
      <c r="I1860" s="179" t="s">
        <v>2494</v>
      </c>
      <c r="J1860" s="179" t="s">
        <v>97</v>
      </c>
      <c r="K1860" s="127" t="s">
        <v>1903</v>
      </c>
      <c r="L1860" s="179" t="s">
        <v>154</v>
      </c>
      <c r="M1860"/>
      <c r="N1860"/>
    </row>
    <row r="1861" spans="1:14" ht="15.6" hidden="1">
      <c r="A1861" s="379">
        <v>45895</v>
      </c>
      <c r="B1861" s="179" t="s">
        <v>3726</v>
      </c>
      <c r="C1861" s="179" t="s">
        <v>173</v>
      </c>
      <c r="D1861" s="179" t="s">
        <v>442</v>
      </c>
      <c r="E1861" s="179">
        <v>500</v>
      </c>
      <c r="F1861" s="317">
        <f t="shared" si="20"/>
        <v>0.89135775178182408</v>
      </c>
      <c r="G1861" s="318">
        <v>560.94200000000001</v>
      </c>
      <c r="H1861" s="179" t="s">
        <v>174</v>
      </c>
      <c r="I1861" s="179" t="s">
        <v>2494</v>
      </c>
      <c r="J1861" s="179" t="s">
        <v>97</v>
      </c>
      <c r="K1861" s="127" t="s">
        <v>1903</v>
      </c>
      <c r="L1861" s="179" t="s">
        <v>154</v>
      </c>
      <c r="M1861"/>
      <c r="N1861"/>
    </row>
    <row r="1862" spans="1:14" ht="15.6" hidden="1">
      <c r="A1862" s="381">
        <v>45895</v>
      </c>
      <c r="B1862" s="179" t="s">
        <v>2365</v>
      </c>
      <c r="C1862" s="179" t="s">
        <v>171</v>
      </c>
      <c r="D1862" s="179" t="s">
        <v>2242</v>
      </c>
      <c r="E1862" s="332">
        <v>25000</v>
      </c>
      <c r="F1862" s="317">
        <f t="shared" si="20"/>
        <v>44.567887589091207</v>
      </c>
      <c r="G1862" s="318">
        <v>560.94200000000001</v>
      </c>
      <c r="H1862" s="179" t="s">
        <v>189</v>
      </c>
      <c r="I1862" s="179" t="s">
        <v>2366</v>
      </c>
      <c r="J1862" s="179" t="s">
        <v>97</v>
      </c>
      <c r="K1862" s="127" t="s">
        <v>1903</v>
      </c>
      <c r="L1862" s="179" t="s">
        <v>154</v>
      </c>
      <c r="M1862"/>
      <c r="N1862"/>
    </row>
    <row r="1863" spans="1:14" ht="15.6" hidden="1">
      <c r="A1863" s="375">
        <v>45895</v>
      </c>
      <c r="B1863" s="179" t="s">
        <v>2687</v>
      </c>
      <c r="C1863" s="396" t="s">
        <v>195</v>
      </c>
      <c r="D1863" s="396" t="s">
        <v>116</v>
      </c>
      <c r="E1863" s="369">
        <v>500</v>
      </c>
      <c r="F1863" s="317">
        <f t="shared" si="20"/>
        <v>0.89135775178182408</v>
      </c>
      <c r="G1863" s="318">
        <v>560.94200000000001</v>
      </c>
      <c r="H1863" s="256" t="s">
        <v>196</v>
      </c>
      <c r="I1863" s="179" t="s">
        <v>2707</v>
      </c>
      <c r="J1863" s="179" t="s">
        <v>97</v>
      </c>
      <c r="K1863" s="127" t="s">
        <v>1903</v>
      </c>
      <c r="L1863" s="179" t="s">
        <v>154</v>
      </c>
      <c r="M1863"/>
      <c r="N1863"/>
    </row>
    <row r="1864" spans="1:14" ht="15.6" hidden="1">
      <c r="A1864" s="375">
        <v>45895</v>
      </c>
      <c r="B1864" s="179" t="s">
        <v>2688</v>
      </c>
      <c r="C1864" s="179" t="s">
        <v>312</v>
      </c>
      <c r="D1864" s="396" t="s">
        <v>116</v>
      </c>
      <c r="E1864" s="369">
        <v>1500</v>
      </c>
      <c r="F1864" s="317">
        <f t="shared" si="20"/>
        <v>2.6740732553454722</v>
      </c>
      <c r="G1864" s="318">
        <v>560.94200000000001</v>
      </c>
      <c r="H1864" s="256" t="s">
        <v>196</v>
      </c>
      <c r="I1864" s="179" t="s">
        <v>2716</v>
      </c>
      <c r="J1864" s="179" t="s">
        <v>97</v>
      </c>
      <c r="K1864" s="127" t="s">
        <v>1903</v>
      </c>
      <c r="L1864" s="179" t="s">
        <v>154</v>
      </c>
      <c r="M1864"/>
      <c r="N1864"/>
    </row>
    <row r="1865" spans="1:14" ht="15.6" hidden="1">
      <c r="A1865" s="375">
        <v>45895</v>
      </c>
      <c r="B1865" s="179" t="s">
        <v>2686</v>
      </c>
      <c r="C1865" s="396" t="s">
        <v>195</v>
      </c>
      <c r="D1865" s="396" t="s">
        <v>116</v>
      </c>
      <c r="E1865" s="369">
        <v>500</v>
      </c>
      <c r="F1865" s="317">
        <f t="shared" si="20"/>
        <v>0.89135775178182408</v>
      </c>
      <c r="G1865" s="318">
        <v>560.94200000000001</v>
      </c>
      <c r="H1865" s="256" t="s">
        <v>196</v>
      </c>
      <c r="I1865" s="179" t="s">
        <v>2707</v>
      </c>
      <c r="J1865" s="179" t="s">
        <v>97</v>
      </c>
      <c r="K1865" s="127" t="s">
        <v>1903</v>
      </c>
      <c r="L1865" s="179" t="s">
        <v>154</v>
      </c>
      <c r="M1865"/>
      <c r="N1865"/>
    </row>
    <row r="1866" spans="1:14" ht="15.6" hidden="1">
      <c r="A1866" s="375">
        <v>45895</v>
      </c>
      <c r="B1866" s="179" t="s">
        <v>2689</v>
      </c>
      <c r="C1866" s="396" t="s">
        <v>195</v>
      </c>
      <c r="D1866" s="396" t="s">
        <v>116</v>
      </c>
      <c r="E1866" s="369">
        <v>500</v>
      </c>
      <c r="F1866" s="317">
        <f t="shared" si="20"/>
        <v>0.89135775178182408</v>
      </c>
      <c r="G1866" s="318">
        <v>560.94200000000001</v>
      </c>
      <c r="H1866" s="256" t="s">
        <v>196</v>
      </c>
      <c r="I1866" s="179" t="s">
        <v>2707</v>
      </c>
      <c r="J1866" s="179" t="s">
        <v>97</v>
      </c>
      <c r="K1866" s="127" t="s">
        <v>1903</v>
      </c>
      <c r="L1866" s="179" t="s">
        <v>154</v>
      </c>
      <c r="M1866"/>
      <c r="N1866"/>
    </row>
    <row r="1867" spans="1:14" ht="15.6" hidden="1">
      <c r="A1867" s="375">
        <v>45895</v>
      </c>
      <c r="B1867" s="179" t="s">
        <v>2690</v>
      </c>
      <c r="C1867" s="396" t="s">
        <v>195</v>
      </c>
      <c r="D1867" s="396" t="s">
        <v>116</v>
      </c>
      <c r="E1867" s="369">
        <v>500</v>
      </c>
      <c r="F1867" s="317">
        <f t="shared" si="20"/>
        <v>0.89135775178182408</v>
      </c>
      <c r="G1867" s="318">
        <v>560.94200000000001</v>
      </c>
      <c r="H1867" s="256" t="s">
        <v>196</v>
      </c>
      <c r="I1867" s="179" t="s">
        <v>2707</v>
      </c>
      <c r="J1867" s="179" t="s">
        <v>97</v>
      </c>
      <c r="K1867" s="127" t="s">
        <v>1903</v>
      </c>
      <c r="L1867" s="179" t="s">
        <v>154</v>
      </c>
      <c r="M1867"/>
      <c r="N1867"/>
    </row>
    <row r="1868" spans="1:14" ht="15.6" hidden="1">
      <c r="A1868" s="375">
        <v>45895</v>
      </c>
      <c r="B1868" s="179" t="s">
        <v>2691</v>
      </c>
      <c r="C1868" s="396" t="s">
        <v>195</v>
      </c>
      <c r="D1868" s="396" t="s">
        <v>116</v>
      </c>
      <c r="E1868" s="369">
        <v>500</v>
      </c>
      <c r="F1868" s="317">
        <f t="shared" si="20"/>
        <v>0.89135775178182408</v>
      </c>
      <c r="G1868" s="318">
        <v>560.94200000000001</v>
      </c>
      <c r="H1868" s="256" t="s">
        <v>196</v>
      </c>
      <c r="I1868" s="179" t="s">
        <v>2707</v>
      </c>
      <c r="J1868" s="179" t="s">
        <v>97</v>
      </c>
      <c r="K1868" s="127" t="s">
        <v>1903</v>
      </c>
      <c r="L1868" s="179" t="s">
        <v>154</v>
      </c>
      <c r="M1868"/>
      <c r="N1868"/>
    </row>
    <row r="1869" spans="1:14" ht="15.6" hidden="1">
      <c r="A1869" s="375">
        <v>45895</v>
      </c>
      <c r="B1869" s="179" t="s">
        <v>2685</v>
      </c>
      <c r="C1869" s="179" t="s">
        <v>312</v>
      </c>
      <c r="D1869" s="396" t="s">
        <v>116</v>
      </c>
      <c r="E1869" s="369">
        <v>1500</v>
      </c>
      <c r="F1869" s="317">
        <f t="shared" si="20"/>
        <v>2.6740732553454722</v>
      </c>
      <c r="G1869" s="318">
        <v>560.94200000000001</v>
      </c>
      <c r="H1869" s="256" t="s">
        <v>196</v>
      </c>
      <c r="I1869" s="179" t="s">
        <v>2716</v>
      </c>
      <c r="J1869" s="179" t="s">
        <v>97</v>
      </c>
      <c r="K1869" s="127" t="s">
        <v>1903</v>
      </c>
      <c r="L1869" s="179" t="s">
        <v>154</v>
      </c>
      <c r="M1869"/>
      <c r="N1869"/>
    </row>
    <row r="1870" spans="1:14" ht="15.6" hidden="1">
      <c r="A1870" s="375">
        <v>45895</v>
      </c>
      <c r="B1870" s="179" t="s">
        <v>2686</v>
      </c>
      <c r="C1870" s="396" t="s">
        <v>195</v>
      </c>
      <c r="D1870" s="396" t="s">
        <v>116</v>
      </c>
      <c r="E1870" s="369">
        <v>500</v>
      </c>
      <c r="F1870" s="317">
        <f t="shared" si="20"/>
        <v>0.89135775178182408</v>
      </c>
      <c r="G1870" s="318">
        <v>560.94200000000001</v>
      </c>
      <c r="H1870" s="256" t="s">
        <v>196</v>
      </c>
      <c r="I1870" s="179" t="s">
        <v>2707</v>
      </c>
      <c r="J1870" s="179" t="s">
        <v>97</v>
      </c>
      <c r="K1870" s="127" t="s">
        <v>1903</v>
      </c>
      <c r="L1870" s="179" t="s">
        <v>154</v>
      </c>
      <c r="M1870"/>
      <c r="N1870"/>
    </row>
    <row r="1871" spans="1:14" ht="15.6" hidden="1">
      <c r="A1871" s="376">
        <v>45895</v>
      </c>
      <c r="B1871" s="179" t="s">
        <v>2733</v>
      </c>
      <c r="C1871" s="179" t="s">
        <v>173</v>
      </c>
      <c r="D1871" s="179" t="s">
        <v>119</v>
      </c>
      <c r="E1871" s="369">
        <v>500</v>
      </c>
      <c r="F1871" s="317">
        <f t="shared" si="20"/>
        <v>0.89135775178182408</v>
      </c>
      <c r="G1871" s="318">
        <v>560.94200000000001</v>
      </c>
      <c r="H1871" s="179" t="s">
        <v>212</v>
      </c>
      <c r="I1871" s="179" t="s">
        <v>2739</v>
      </c>
      <c r="J1871" s="179" t="s">
        <v>97</v>
      </c>
      <c r="K1871" s="127" t="s">
        <v>1903</v>
      </c>
      <c r="L1871" s="179" t="s">
        <v>154</v>
      </c>
      <c r="M1871" s="333"/>
      <c r="N1871" s="333"/>
    </row>
    <row r="1872" spans="1:14" ht="15.6" hidden="1">
      <c r="A1872" s="376">
        <v>45895</v>
      </c>
      <c r="B1872" s="179" t="s">
        <v>2734</v>
      </c>
      <c r="C1872" s="179" t="s">
        <v>173</v>
      </c>
      <c r="D1872" s="179" t="s">
        <v>119</v>
      </c>
      <c r="E1872" s="369">
        <v>500</v>
      </c>
      <c r="F1872" s="317">
        <f t="shared" si="20"/>
        <v>0.89135775178182408</v>
      </c>
      <c r="G1872" s="318">
        <v>560.94200000000001</v>
      </c>
      <c r="H1872" s="179" t="s">
        <v>212</v>
      </c>
      <c r="I1872" s="179" t="s">
        <v>2739</v>
      </c>
      <c r="J1872" s="179" t="s">
        <v>97</v>
      </c>
      <c r="K1872" s="127" t="s">
        <v>1903</v>
      </c>
      <c r="L1872" s="179" t="s">
        <v>154</v>
      </c>
      <c r="M1872" s="333"/>
      <c r="N1872" s="333"/>
    </row>
    <row r="1873" spans="1:14" ht="15.6" hidden="1">
      <c r="A1873" s="376">
        <v>45895</v>
      </c>
      <c r="B1873" s="179" t="s">
        <v>2735</v>
      </c>
      <c r="C1873" s="179" t="s">
        <v>173</v>
      </c>
      <c r="D1873" s="179" t="s">
        <v>119</v>
      </c>
      <c r="E1873" s="369">
        <v>500</v>
      </c>
      <c r="F1873" s="317">
        <f t="shared" si="20"/>
        <v>0.89135775178182408</v>
      </c>
      <c r="G1873" s="318">
        <v>560.94200000000001</v>
      </c>
      <c r="H1873" s="179" t="s">
        <v>212</v>
      </c>
      <c r="I1873" s="179" t="s">
        <v>2739</v>
      </c>
      <c r="J1873" s="179" t="s">
        <v>97</v>
      </c>
      <c r="K1873" s="127" t="s">
        <v>1903</v>
      </c>
      <c r="L1873" s="179" t="s">
        <v>154</v>
      </c>
      <c r="M1873" s="333"/>
      <c r="N1873" s="333"/>
    </row>
    <row r="1874" spans="1:14" ht="15.6" hidden="1">
      <c r="A1874" s="376">
        <v>45895</v>
      </c>
      <c r="B1874" s="179" t="s">
        <v>2732</v>
      </c>
      <c r="C1874" s="179" t="s">
        <v>173</v>
      </c>
      <c r="D1874" s="179" t="s">
        <v>119</v>
      </c>
      <c r="E1874" s="369">
        <v>500</v>
      </c>
      <c r="F1874" s="317">
        <f t="shared" si="20"/>
        <v>0.89135775178182408</v>
      </c>
      <c r="G1874" s="318">
        <v>560.94200000000001</v>
      </c>
      <c r="H1874" s="179" t="s">
        <v>212</v>
      </c>
      <c r="I1874" s="179" t="s">
        <v>2739</v>
      </c>
      <c r="J1874" s="179" t="s">
        <v>97</v>
      </c>
      <c r="K1874" s="127" t="s">
        <v>1903</v>
      </c>
      <c r="L1874" s="179" t="s">
        <v>154</v>
      </c>
      <c r="M1874" s="333"/>
      <c r="N1874" s="333"/>
    </row>
    <row r="1875" spans="1:14" ht="15.6" hidden="1">
      <c r="A1875" s="381">
        <v>45895</v>
      </c>
      <c r="B1875" s="179" t="s">
        <v>2815</v>
      </c>
      <c r="C1875" s="179" t="s">
        <v>2089</v>
      </c>
      <c r="D1875" s="179" t="s">
        <v>119</v>
      </c>
      <c r="E1875" s="332">
        <v>6000</v>
      </c>
      <c r="F1875" s="317">
        <f t="shared" si="20"/>
        <v>10.696293021381889</v>
      </c>
      <c r="G1875" s="318">
        <v>560.94200000000001</v>
      </c>
      <c r="H1875" s="179" t="s">
        <v>212</v>
      </c>
      <c r="I1875" s="179" t="s">
        <v>2360</v>
      </c>
      <c r="J1875" s="179" t="s">
        <v>97</v>
      </c>
      <c r="K1875" s="127" t="s">
        <v>1903</v>
      </c>
      <c r="L1875" s="179" t="s">
        <v>154</v>
      </c>
      <c r="M1875" s="333"/>
      <c r="N1875" s="333"/>
    </row>
    <row r="1876" spans="1:14" ht="15.6" hidden="1">
      <c r="A1876" s="379">
        <v>45895</v>
      </c>
      <c r="B1876" s="179" t="s">
        <v>2816</v>
      </c>
      <c r="C1876" s="179" t="s">
        <v>2089</v>
      </c>
      <c r="D1876" s="179" t="s">
        <v>119</v>
      </c>
      <c r="E1876" s="332">
        <v>6000</v>
      </c>
      <c r="F1876" s="317">
        <f t="shared" si="20"/>
        <v>10.696293021381889</v>
      </c>
      <c r="G1876" s="318">
        <v>560.94200000000001</v>
      </c>
      <c r="H1876" s="179" t="s">
        <v>212</v>
      </c>
      <c r="I1876" s="179" t="s">
        <v>2360</v>
      </c>
      <c r="J1876" s="179" t="s">
        <v>97</v>
      </c>
      <c r="K1876" s="127" t="s">
        <v>1903</v>
      </c>
      <c r="L1876" s="179" t="s">
        <v>154</v>
      </c>
      <c r="M1876" s="333"/>
      <c r="N1876" s="333"/>
    </row>
    <row r="1877" spans="1:14" ht="15.6" hidden="1">
      <c r="A1877" s="381">
        <v>45895</v>
      </c>
      <c r="B1877" s="179" t="s">
        <v>2817</v>
      </c>
      <c r="C1877" s="179" t="s">
        <v>2089</v>
      </c>
      <c r="D1877" s="179" t="s">
        <v>119</v>
      </c>
      <c r="E1877" s="332">
        <v>6000</v>
      </c>
      <c r="F1877" s="317">
        <f t="shared" si="20"/>
        <v>10.696293021381889</v>
      </c>
      <c r="G1877" s="318">
        <v>560.94200000000001</v>
      </c>
      <c r="H1877" s="179" t="s">
        <v>212</v>
      </c>
      <c r="I1877" s="179" t="s">
        <v>2360</v>
      </c>
      <c r="J1877" s="179" t="s">
        <v>97</v>
      </c>
      <c r="K1877" s="127" t="s">
        <v>1903</v>
      </c>
      <c r="L1877" s="179" t="s">
        <v>154</v>
      </c>
      <c r="M1877" s="333"/>
      <c r="N1877" s="333"/>
    </row>
    <row r="1878" spans="1:14" ht="15.6" hidden="1">
      <c r="A1878" s="379">
        <v>45895</v>
      </c>
      <c r="B1878" s="179" t="s">
        <v>2818</v>
      </c>
      <c r="C1878" s="179" t="s">
        <v>2089</v>
      </c>
      <c r="D1878" s="179" t="s">
        <v>119</v>
      </c>
      <c r="E1878" s="332">
        <v>6000</v>
      </c>
      <c r="F1878" s="317">
        <f t="shared" si="20"/>
        <v>10.696293021381889</v>
      </c>
      <c r="G1878" s="318">
        <v>560.94200000000001</v>
      </c>
      <c r="H1878" s="179" t="s">
        <v>212</v>
      </c>
      <c r="I1878" s="179" t="s">
        <v>2360</v>
      </c>
      <c r="J1878" s="179" t="s">
        <v>97</v>
      </c>
      <c r="K1878" s="127" t="s">
        <v>1903</v>
      </c>
      <c r="L1878" s="179" t="s">
        <v>154</v>
      </c>
      <c r="M1878" s="333"/>
      <c r="N1878" s="333"/>
    </row>
    <row r="1879" spans="1:14" ht="15.6" hidden="1">
      <c r="A1879" s="381">
        <v>45895</v>
      </c>
      <c r="B1879" s="179" t="s">
        <v>2819</v>
      </c>
      <c r="C1879" s="179" t="s">
        <v>2089</v>
      </c>
      <c r="D1879" s="179" t="s">
        <v>119</v>
      </c>
      <c r="E1879" s="332">
        <v>6000</v>
      </c>
      <c r="F1879" s="317">
        <f t="shared" si="20"/>
        <v>10.696293021381889</v>
      </c>
      <c r="G1879" s="318">
        <v>560.94200000000001</v>
      </c>
      <c r="H1879" s="179" t="s">
        <v>212</v>
      </c>
      <c r="I1879" s="179" t="s">
        <v>2360</v>
      </c>
      <c r="J1879" s="179" t="s">
        <v>97</v>
      </c>
      <c r="K1879" s="127" t="s">
        <v>1903</v>
      </c>
      <c r="L1879" s="179" t="s">
        <v>154</v>
      </c>
      <c r="M1879" s="333"/>
      <c r="N1879" s="333"/>
    </row>
    <row r="1880" spans="1:14" ht="15.6" hidden="1">
      <c r="A1880" s="379">
        <v>45895</v>
      </c>
      <c r="B1880" s="179" t="s">
        <v>2820</v>
      </c>
      <c r="C1880" s="179" t="s">
        <v>2089</v>
      </c>
      <c r="D1880" s="179" t="s">
        <v>119</v>
      </c>
      <c r="E1880" s="332">
        <v>6000</v>
      </c>
      <c r="F1880" s="317">
        <f t="shared" si="20"/>
        <v>10.696293021381889</v>
      </c>
      <c r="G1880" s="318">
        <v>560.94200000000001</v>
      </c>
      <c r="H1880" s="179" t="s">
        <v>212</v>
      </c>
      <c r="I1880" s="179" t="s">
        <v>2360</v>
      </c>
      <c r="J1880" s="179" t="s">
        <v>97</v>
      </c>
      <c r="K1880" s="127" t="s">
        <v>1903</v>
      </c>
      <c r="L1880" s="179" t="s">
        <v>154</v>
      </c>
      <c r="M1880" s="333"/>
      <c r="N1880" s="333"/>
    </row>
    <row r="1881" spans="1:14" ht="15.6" hidden="1">
      <c r="A1881" s="381">
        <v>45895</v>
      </c>
      <c r="B1881" s="179" t="s">
        <v>2821</v>
      </c>
      <c r="C1881" s="179" t="s">
        <v>2089</v>
      </c>
      <c r="D1881" s="179" t="s">
        <v>119</v>
      </c>
      <c r="E1881" s="332">
        <v>6000</v>
      </c>
      <c r="F1881" s="317">
        <f t="shared" si="20"/>
        <v>10.696293021381889</v>
      </c>
      <c r="G1881" s="318">
        <v>560.94200000000001</v>
      </c>
      <c r="H1881" s="179" t="s">
        <v>212</v>
      </c>
      <c r="I1881" s="179" t="s">
        <v>2360</v>
      </c>
      <c r="J1881" s="179" t="s">
        <v>97</v>
      </c>
      <c r="K1881" s="127" t="s">
        <v>1903</v>
      </c>
      <c r="L1881" s="179" t="s">
        <v>154</v>
      </c>
      <c r="M1881" s="333"/>
      <c r="N1881" s="333"/>
    </row>
    <row r="1882" spans="1:14" ht="15.6" hidden="1">
      <c r="A1882" s="379">
        <v>45895</v>
      </c>
      <c r="B1882" s="179" t="s">
        <v>2822</v>
      </c>
      <c r="C1882" s="179" t="s">
        <v>2089</v>
      </c>
      <c r="D1882" s="179" t="s">
        <v>119</v>
      </c>
      <c r="E1882" s="332">
        <v>6000</v>
      </c>
      <c r="F1882" s="317">
        <f t="shared" si="20"/>
        <v>10.696293021381889</v>
      </c>
      <c r="G1882" s="318">
        <v>560.94200000000001</v>
      </c>
      <c r="H1882" s="179" t="s">
        <v>212</v>
      </c>
      <c r="I1882" s="179" t="s">
        <v>2360</v>
      </c>
      <c r="J1882" s="179" t="s">
        <v>97</v>
      </c>
      <c r="K1882" s="127" t="s">
        <v>1903</v>
      </c>
      <c r="L1882" s="179" t="s">
        <v>154</v>
      </c>
      <c r="M1882" s="333"/>
      <c r="N1882" s="333"/>
    </row>
    <row r="1883" spans="1:14" ht="15.6" hidden="1">
      <c r="A1883" s="381">
        <v>45895</v>
      </c>
      <c r="B1883" s="179" t="s">
        <v>2823</v>
      </c>
      <c r="C1883" s="179" t="s">
        <v>2089</v>
      </c>
      <c r="D1883" s="179" t="s">
        <v>119</v>
      </c>
      <c r="E1883" s="332">
        <v>6000</v>
      </c>
      <c r="F1883" s="317">
        <f t="shared" si="20"/>
        <v>10.696293021381889</v>
      </c>
      <c r="G1883" s="318">
        <v>560.94200000000001</v>
      </c>
      <c r="H1883" s="179" t="s">
        <v>212</v>
      </c>
      <c r="I1883" s="179" t="s">
        <v>2360</v>
      </c>
      <c r="J1883" s="179" t="s">
        <v>97</v>
      </c>
      <c r="K1883" s="127" t="s">
        <v>1903</v>
      </c>
      <c r="L1883" s="179" t="s">
        <v>154</v>
      </c>
      <c r="M1883" s="333"/>
      <c r="N1883" s="333"/>
    </row>
    <row r="1884" spans="1:14" ht="15.6" hidden="1">
      <c r="A1884" s="379">
        <v>45895</v>
      </c>
      <c r="B1884" s="179" t="s">
        <v>2824</v>
      </c>
      <c r="C1884" s="179" t="s">
        <v>2089</v>
      </c>
      <c r="D1884" s="179" t="s">
        <v>119</v>
      </c>
      <c r="E1884" s="332">
        <v>6000</v>
      </c>
      <c r="F1884" s="317">
        <f t="shared" si="20"/>
        <v>10.696293021381889</v>
      </c>
      <c r="G1884" s="318">
        <v>560.94200000000001</v>
      </c>
      <c r="H1884" s="179" t="s">
        <v>212</v>
      </c>
      <c r="I1884" s="179" t="s">
        <v>2360</v>
      </c>
      <c r="J1884" s="179" t="s">
        <v>97</v>
      </c>
      <c r="K1884" s="127" t="s">
        <v>1903</v>
      </c>
      <c r="L1884" s="179" t="s">
        <v>154</v>
      </c>
      <c r="M1884" s="333"/>
      <c r="N1884" s="333"/>
    </row>
    <row r="1885" spans="1:14" ht="15.6" hidden="1">
      <c r="A1885" s="381">
        <v>45895</v>
      </c>
      <c r="B1885" s="179" t="s">
        <v>2825</v>
      </c>
      <c r="C1885" s="179" t="s">
        <v>2089</v>
      </c>
      <c r="D1885" s="179" t="s">
        <v>119</v>
      </c>
      <c r="E1885" s="332">
        <v>6000</v>
      </c>
      <c r="F1885" s="317">
        <f t="shared" si="20"/>
        <v>10.696293021381889</v>
      </c>
      <c r="G1885" s="318">
        <v>560.94200000000001</v>
      </c>
      <c r="H1885" s="179" t="s">
        <v>212</v>
      </c>
      <c r="I1885" s="179" t="s">
        <v>2360</v>
      </c>
      <c r="J1885" s="179" t="s">
        <v>97</v>
      </c>
      <c r="K1885" s="127" t="s">
        <v>1903</v>
      </c>
      <c r="L1885" s="179" t="s">
        <v>154</v>
      </c>
      <c r="M1885" s="333"/>
      <c r="N1885" s="333"/>
    </row>
    <row r="1886" spans="1:14" ht="15.6" hidden="1">
      <c r="A1886" s="379">
        <v>45895</v>
      </c>
      <c r="B1886" s="179" t="s">
        <v>2826</v>
      </c>
      <c r="C1886" s="179" t="s">
        <v>2089</v>
      </c>
      <c r="D1886" s="179" t="s">
        <v>119</v>
      </c>
      <c r="E1886" s="332">
        <v>6000</v>
      </c>
      <c r="F1886" s="317">
        <f t="shared" si="20"/>
        <v>10.696293021381889</v>
      </c>
      <c r="G1886" s="318">
        <v>560.94200000000001</v>
      </c>
      <c r="H1886" s="179" t="s">
        <v>212</v>
      </c>
      <c r="I1886" s="179" t="s">
        <v>2360</v>
      </c>
      <c r="J1886" s="179" t="s">
        <v>97</v>
      </c>
      <c r="K1886" s="127" t="s">
        <v>1903</v>
      </c>
      <c r="L1886" s="179" t="s">
        <v>154</v>
      </c>
      <c r="M1886" s="333"/>
      <c r="N1886" s="333"/>
    </row>
    <row r="1887" spans="1:14" ht="15.6" hidden="1">
      <c r="A1887" s="381">
        <v>45895</v>
      </c>
      <c r="B1887" s="179" t="s">
        <v>2827</v>
      </c>
      <c r="C1887" s="179" t="s">
        <v>2089</v>
      </c>
      <c r="D1887" s="179" t="s">
        <v>119</v>
      </c>
      <c r="E1887" s="332">
        <v>6000</v>
      </c>
      <c r="F1887" s="317">
        <f t="shared" si="20"/>
        <v>10.696293021381889</v>
      </c>
      <c r="G1887" s="318">
        <v>560.94200000000001</v>
      </c>
      <c r="H1887" s="179" t="s">
        <v>212</v>
      </c>
      <c r="I1887" s="179" t="s">
        <v>2360</v>
      </c>
      <c r="J1887" s="179" t="s">
        <v>97</v>
      </c>
      <c r="K1887" s="127" t="s">
        <v>1903</v>
      </c>
      <c r="L1887" s="179" t="s">
        <v>154</v>
      </c>
      <c r="M1887" s="333"/>
      <c r="N1887" s="333"/>
    </row>
    <row r="1888" spans="1:14" ht="15.6" hidden="1">
      <c r="A1888" s="379">
        <v>45895</v>
      </c>
      <c r="B1888" s="179" t="s">
        <v>2828</v>
      </c>
      <c r="C1888" s="179" t="s">
        <v>2089</v>
      </c>
      <c r="D1888" s="179" t="s">
        <v>119</v>
      </c>
      <c r="E1888" s="332">
        <v>6000</v>
      </c>
      <c r="F1888" s="317">
        <f t="shared" si="20"/>
        <v>10.696293021381889</v>
      </c>
      <c r="G1888" s="318">
        <v>560.94200000000001</v>
      </c>
      <c r="H1888" s="179" t="s">
        <v>212</v>
      </c>
      <c r="I1888" s="179" t="s">
        <v>2360</v>
      </c>
      <c r="J1888" s="179" t="s">
        <v>97</v>
      </c>
      <c r="K1888" s="127" t="s">
        <v>1903</v>
      </c>
      <c r="L1888" s="179" t="s">
        <v>154</v>
      </c>
      <c r="M1888" s="333"/>
      <c r="N1888" s="333"/>
    </row>
    <row r="1889" spans="1:14" ht="15.6" hidden="1">
      <c r="A1889" s="381">
        <v>45895</v>
      </c>
      <c r="B1889" s="179" t="s">
        <v>2829</v>
      </c>
      <c r="C1889" s="179" t="s">
        <v>2089</v>
      </c>
      <c r="D1889" s="179" t="s">
        <v>119</v>
      </c>
      <c r="E1889" s="332">
        <v>10000</v>
      </c>
      <c r="F1889" s="317">
        <f t="shared" si="20"/>
        <v>17.827155035636483</v>
      </c>
      <c r="G1889" s="318">
        <v>560.94200000000001</v>
      </c>
      <c r="H1889" s="179" t="s">
        <v>212</v>
      </c>
      <c r="I1889" s="179" t="s">
        <v>2361</v>
      </c>
      <c r="J1889" s="179" t="s">
        <v>97</v>
      </c>
      <c r="K1889" s="127" t="s">
        <v>1903</v>
      </c>
      <c r="L1889" s="179" t="s">
        <v>154</v>
      </c>
      <c r="M1889" s="333"/>
      <c r="N1889" s="333"/>
    </row>
    <row r="1890" spans="1:14" ht="15.6" hidden="1">
      <c r="A1890" s="379">
        <v>45895</v>
      </c>
      <c r="B1890" s="179" t="s">
        <v>2830</v>
      </c>
      <c r="C1890" s="179" t="s">
        <v>2089</v>
      </c>
      <c r="D1890" s="179" t="s">
        <v>119</v>
      </c>
      <c r="E1890" s="332">
        <v>10000</v>
      </c>
      <c r="F1890" s="317">
        <f t="shared" si="20"/>
        <v>17.827155035636483</v>
      </c>
      <c r="G1890" s="318">
        <v>560.94200000000001</v>
      </c>
      <c r="H1890" s="179" t="s">
        <v>212</v>
      </c>
      <c r="I1890" s="179" t="s">
        <v>2361</v>
      </c>
      <c r="J1890" s="179" t="s">
        <v>97</v>
      </c>
      <c r="K1890" s="127" t="s">
        <v>1903</v>
      </c>
      <c r="L1890" s="179" t="s">
        <v>154</v>
      </c>
      <c r="M1890" s="333"/>
      <c r="N1890" s="333"/>
    </row>
    <row r="1891" spans="1:14" ht="15.6" hidden="1">
      <c r="A1891" s="381">
        <v>45895</v>
      </c>
      <c r="B1891" s="179" t="s">
        <v>2831</v>
      </c>
      <c r="C1891" s="179" t="s">
        <v>2089</v>
      </c>
      <c r="D1891" s="179" t="s">
        <v>119</v>
      </c>
      <c r="E1891" s="332">
        <v>10000</v>
      </c>
      <c r="F1891" s="317">
        <f t="shared" si="20"/>
        <v>17.827155035636483</v>
      </c>
      <c r="G1891" s="318">
        <v>560.94200000000001</v>
      </c>
      <c r="H1891" s="179" t="s">
        <v>212</v>
      </c>
      <c r="I1891" s="179" t="s">
        <v>2361</v>
      </c>
      <c r="J1891" s="179" t="s">
        <v>97</v>
      </c>
      <c r="K1891" s="127" t="s">
        <v>1903</v>
      </c>
      <c r="L1891" s="179" t="s">
        <v>154</v>
      </c>
      <c r="M1891" s="333"/>
      <c r="N1891" s="333"/>
    </row>
    <row r="1892" spans="1:14" ht="15.6" hidden="1">
      <c r="A1892" s="379">
        <v>45895</v>
      </c>
      <c r="B1892" s="179" t="s">
        <v>2832</v>
      </c>
      <c r="C1892" s="179" t="s">
        <v>2089</v>
      </c>
      <c r="D1892" s="179" t="s">
        <v>119</v>
      </c>
      <c r="E1892" s="332">
        <v>10000</v>
      </c>
      <c r="F1892" s="317">
        <f t="shared" si="20"/>
        <v>17.827155035636483</v>
      </c>
      <c r="G1892" s="318">
        <v>560.94200000000001</v>
      </c>
      <c r="H1892" s="179" t="s">
        <v>212</v>
      </c>
      <c r="I1892" s="179" t="s">
        <v>2361</v>
      </c>
      <c r="J1892" s="179" t="s">
        <v>97</v>
      </c>
      <c r="K1892" s="127" t="s">
        <v>1903</v>
      </c>
      <c r="L1892" s="179" t="s">
        <v>154</v>
      </c>
      <c r="M1892" s="333"/>
      <c r="N1892" s="333"/>
    </row>
    <row r="1893" spans="1:14" ht="15.6" hidden="1">
      <c r="A1893" s="381">
        <v>45895</v>
      </c>
      <c r="B1893" s="179" t="s">
        <v>2833</v>
      </c>
      <c r="C1893" s="179" t="s">
        <v>2089</v>
      </c>
      <c r="D1893" s="179" t="s">
        <v>119</v>
      </c>
      <c r="E1893" s="332">
        <v>6000</v>
      </c>
      <c r="F1893" s="317">
        <f t="shared" si="20"/>
        <v>10.696293021381889</v>
      </c>
      <c r="G1893" s="318">
        <v>560.94200000000001</v>
      </c>
      <c r="H1893" s="179" t="s">
        <v>212</v>
      </c>
      <c r="I1893" s="179" t="s">
        <v>2362</v>
      </c>
      <c r="J1893" s="179" t="s">
        <v>97</v>
      </c>
      <c r="K1893" s="127" t="s">
        <v>1903</v>
      </c>
      <c r="L1893" s="179" t="s">
        <v>154</v>
      </c>
      <c r="M1893" s="333"/>
      <c r="N1893" s="333"/>
    </row>
    <row r="1894" spans="1:14" ht="15.6" hidden="1">
      <c r="A1894" s="376">
        <v>45895</v>
      </c>
      <c r="B1894" s="179" t="s">
        <v>2758</v>
      </c>
      <c r="C1894" s="179" t="s">
        <v>173</v>
      </c>
      <c r="D1894" s="179" t="s">
        <v>116</v>
      </c>
      <c r="E1894" s="179">
        <v>500</v>
      </c>
      <c r="F1894" s="317">
        <f t="shared" si="20"/>
        <v>0.89135775178182408</v>
      </c>
      <c r="G1894" s="318">
        <v>560.94200000000001</v>
      </c>
      <c r="H1894" s="179" t="s">
        <v>186</v>
      </c>
      <c r="I1894" s="179" t="s">
        <v>2759</v>
      </c>
      <c r="J1894" s="179" t="s">
        <v>97</v>
      </c>
      <c r="K1894" s="127" t="s">
        <v>1903</v>
      </c>
      <c r="L1894" s="179" t="s">
        <v>154</v>
      </c>
      <c r="M1894" s="333"/>
      <c r="N1894" s="333"/>
    </row>
    <row r="1895" spans="1:14" ht="15.6" hidden="1">
      <c r="A1895" s="381">
        <v>45895</v>
      </c>
      <c r="B1895" s="179" t="s">
        <v>2363</v>
      </c>
      <c r="C1895" s="179" t="s">
        <v>181</v>
      </c>
      <c r="D1895" s="179" t="s">
        <v>117</v>
      </c>
      <c r="E1895" s="179">
        <v>3900</v>
      </c>
      <c r="F1895" s="317">
        <f t="shared" si="20"/>
        <v>6.9525904638982281</v>
      </c>
      <c r="G1895" s="318">
        <v>560.94200000000001</v>
      </c>
      <c r="H1895" s="179" t="s">
        <v>186</v>
      </c>
      <c r="I1895" s="179" t="s">
        <v>2364</v>
      </c>
      <c r="J1895" s="179" t="s">
        <v>97</v>
      </c>
      <c r="K1895" s="127" t="s">
        <v>1903</v>
      </c>
      <c r="L1895" s="179" t="s">
        <v>154</v>
      </c>
      <c r="M1895" s="333"/>
      <c r="N1895" s="333"/>
    </row>
    <row r="1896" spans="1:14" ht="15.6" hidden="1">
      <c r="A1896" s="376">
        <v>45895</v>
      </c>
      <c r="B1896" s="179" t="s">
        <v>2757</v>
      </c>
      <c r="C1896" s="179" t="s">
        <v>173</v>
      </c>
      <c r="D1896" s="179" t="s">
        <v>116</v>
      </c>
      <c r="E1896" s="179">
        <v>500</v>
      </c>
      <c r="F1896" s="317">
        <f t="shared" si="20"/>
        <v>0.89135775178182408</v>
      </c>
      <c r="G1896" s="318">
        <v>560.94200000000001</v>
      </c>
      <c r="H1896" s="179" t="s">
        <v>186</v>
      </c>
      <c r="I1896" s="179" t="s">
        <v>2759</v>
      </c>
      <c r="J1896" s="179" t="s">
        <v>97</v>
      </c>
      <c r="K1896" s="127" t="s">
        <v>1903</v>
      </c>
      <c r="L1896" s="179" t="s">
        <v>154</v>
      </c>
      <c r="M1896" s="333"/>
      <c r="N1896" s="333"/>
    </row>
    <row r="1897" spans="1:14" ht="15.6" hidden="1">
      <c r="A1897" s="372">
        <v>45896</v>
      </c>
      <c r="B1897" s="396" t="s">
        <v>2100</v>
      </c>
      <c r="C1897" s="303" t="s">
        <v>173</v>
      </c>
      <c r="D1897" s="303" t="s">
        <v>118</v>
      </c>
      <c r="E1897" s="396">
        <v>1000</v>
      </c>
      <c r="F1897" s="317">
        <f t="shared" si="20"/>
        <v>1.7827155035636482</v>
      </c>
      <c r="G1897" s="318">
        <v>560.94200000000001</v>
      </c>
      <c r="H1897" s="403" t="s">
        <v>152</v>
      </c>
      <c r="I1897" s="404" t="s">
        <v>2425</v>
      </c>
      <c r="J1897" s="179" t="s">
        <v>97</v>
      </c>
      <c r="K1897" s="127" t="s">
        <v>1903</v>
      </c>
      <c r="L1897" s="179" t="s">
        <v>154</v>
      </c>
      <c r="M1897" s="390"/>
      <c r="N1897" s="390"/>
    </row>
    <row r="1898" spans="1:14" ht="15.6" hidden="1">
      <c r="A1898" s="372">
        <v>45896</v>
      </c>
      <c r="B1898" s="396" t="s">
        <v>2101</v>
      </c>
      <c r="C1898" s="303" t="s">
        <v>173</v>
      </c>
      <c r="D1898" s="303" t="s">
        <v>118</v>
      </c>
      <c r="E1898" s="396">
        <v>1000</v>
      </c>
      <c r="F1898" s="317">
        <f t="shared" si="20"/>
        <v>1.7827155035636482</v>
      </c>
      <c r="G1898" s="318">
        <v>560.94200000000001</v>
      </c>
      <c r="H1898" s="403" t="s">
        <v>152</v>
      </c>
      <c r="I1898" s="404" t="s">
        <v>2425</v>
      </c>
      <c r="J1898" s="179" t="s">
        <v>97</v>
      </c>
      <c r="K1898" s="127" t="s">
        <v>1903</v>
      </c>
      <c r="L1898" s="179" t="s">
        <v>154</v>
      </c>
      <c r="M1898" s="390"/>
      <c r="N1898" s="390"/>
    </row>
    <row r="1899" spans="1:14" ht="15.6" hidden="1">
      <c r="A1899" s="374">
        <v>45896</v>
      </c>
      <c r="B1899" s="395" t="s">
        <v>2419</v>
      </c>
      <c r="C1899" s="395" t="s">
        <v>173</v>
      </c>
      <c r="D1899" s="395" t="s">
        <v>116</v>
      </c>
      <c r="E1899" s="405">
        <v>500</v>
      </c>
      <c r="F1899" s="317">
        <f t="shared" si="20"/>
        <v>0.89135775178182408</v>
      </c>
      <c r="G1899" s="318">
        <v>560.94200000000001</v>
      </c>
      <c r="H1899" s="174" t="s">
        <v>199</v>
      </c>
      <c r="I1899" s="395" t="s">
        <v>2423</v>
      </c>
      <c r="J1899" s="179" t="s">
        <v>97</v>
      </c>
      <c r="K1899" s="127" t="s">
        <v>1903</v>
      </c>
      <c r="L1899" s="179" t="s">
        <v>154</v>
      </c>
      <c r="M1899" s="390"/>
      <c r="N1899" s="390"/>
    </row>
    <row r="1900" spans="1:14" ht="15.6" hidden="1">
      <c r="A1900" s="374">
        <v>45896</v>
      </c>
      <c r="B1900" s="395" t="s">
        <v>2403</v>
      </c>
      <c r="C1900" s="395" t="s">
        <v>173</v>
      </c>
      <c r="D1900" s="395" t="s">
        <v>116</v>
      </c>
      <c r="E1900" s="405">
        <v>500</v>
      </c>
      <c r="F1900" s="317">
        <f t="shared" ref="F1900:F1931" si="21">E1900/G1900</f>
        <v>0.89135775178182408</v>
      </c>
      <c r="G1900" s="318">
        <v>560.94200000000001</v>
      </c>
      <c r="H1900" s="174" t="s">
        <v>199</v>
      </c>
      <c r="I1900" s="395" t="s">
        <v>2423</v>
      </c>
      <c r="J1900" s="179" t="s">
        <v>97</v>
      </c>
      <c r="K1900" s="127" t="s">
        <v>1903</v>
      </c>
      <c r="L1900" s="179" t="s">
        <v>154</v>
      </c>
      <c r="M1900" s="390"/>
      <c r="N1900" s="390"/>
    </row>
    <row r="1901" spans="1:14" ht="15.6" hidden="1">
      <c r="A1901" s="381">
        <v>45896</v>
      </c>
      <c r="B1901" s="179" t="s">
        <v>2371</v>
      </c>
      <c r="C1901" s="179" t="s">
        <v>303</v>
      </c>
      <c r="D1901" s="179" t="s">
        <v>117</v>
      </c>
      <c r="E1901" s="332">
        <v>20000</v>
      </c>
      <c r="F1901" s="317">
        <f t="shared" si="21"/>
        <v>35.654310071272967</v>
      </c>
      <c r="G1901" s="318">
        <v>560.94200000000001</v>
      </c>
      <c r="H1901" s="179" t="s">
        <v>583</v>
      </c>
      <c r="I1901" s="179" t="s">
        <v>2372</v>
      </c>
      <c r="J1901" s="179" t="s">
        <v>97</v>
      </c>
      <c r="K1901" s="127" t="s">
        <v>1903</v>
      </c>
      <c r="L1901" s="179" t="s">
        <v>154</v>
      </c>
      <c r="M1901" s="390"/>
      <c r="N1901" s="390"/>
    </row>
    <row r="1902" spans="1:14" ht="15.6" hidden="1">
      <c r="A1902" s="381">
        <v>45896</v>
      </c>
      <c r="B1902" s="179" t="s">
        <v>2373</v>
      </c>
      <c r="C1902" s="179" t="s">
        <v>303</v>
      </c>
      <c r="D1902" s="179" t="s">
        <v>117</v>
      </c>
      <c r="E1902" s="332">
        <v>75625</v>
      </c>
      <c r="F1902" s="317">
        <f t="shared" si="21"/>
        <v>134.81785995700091</v>
      </c>
      <c r="G1902" s="318">
        <v>560.94200000000001</v>
      </c>
      <c r="H1902" s="179" t="s">
        <v>583</v>
      </c>
      <c r="I1902" s="179" t="s">
        <v>2374</v>
      </c>
      <c r="J1902" s="179" t="s">
        <v>97</v>
      </c>
      <c r="K1902" s="127" t="s">
        <v>1903</v>
      </c>
      <c r="L1902" s="179" t="s">
        <v>154</v>
      </c>
      <c r="M1902" s="390"/>
      <c r="N1902" s="390"/>
    </row>
    <row r="1903" spans="1:14" ht="15.6" hidden="1">
      <c r="A1903" s="381">
        <v>45896</v>
      </c>
      <c r="B1903" s="179" t="s">
        <v>2375</v>
      </c>
      <c r="C1903" s="179" t="s">
        <v>181</v>
      </c>
      <c r="D1903" s="179" t="s">
        <v>117</v>
      </c>
      <c r="E1903" s="332">
        <v>10020</v>
      </c>
      <c r="F1903" s="317">
        <f t="shared" si="21"/>
        <v>17.862809345707756</v>
      </c>
      <c r="G1903" s="318">
        <v>560.94200000000001</v>
      </c>
      <c r="H1903" s="179" t="s">
        <v>583</v>
      </c>
      <c r="I1903" s="179" t="s">
        <v>2376</v>
      </c>
      <c r="J1903" s="179" t="s">
        <v>97</v>
      </c>
      <c r="K1903" s="127" t="s">
        <v>1903</v>
      </c>
      <c r="L1903" s="179" t="s">
        <v>154</v>
      </c>
      <c r="M1903" s="390"/>
      <c r="N1903" s="390"/>
    </row>
    <row r="1904" spans="1:14" ht="15.6" hidden="1">
      <c r="A1904" s="376">
        <v>45896</v>
      </c>
      <c r="B1904" s="179" t="s">
        <v>3730</v>
      </c>
      <c r="C1904" s="179" t="s">
        <v>173</v>
      </c>
      <c r="D1904" s="179" t="s">
        <v>442</v>
      </c>
      <c r="E1904" s="179">
        <v>2000</v>
      </c>
      <c r="F1904" s="317">
        <f t="shared" si="21"/>
        <v>3.5654310071272963</v>
      </c>
      <c r="G1904" s="318">
        <v>560.94200000000001</v>
      </c>
      <c r="H1904" s="179" t="s">
        <v>316</v>
      </c>
      <c r="I1904" s="179" t="s">
        <v>2523</v>
      </c>
      <c r="J1904" s="179" t="s">
        <v>97</v>
      </c>
      <c r="K1904" s="127" t="s">
        <v>1903</v>
      </c>
      <c r="L1904" s="179" t="s">
        <v>154</v>
      </c>
      <c r="M1904" s="333"/>
      <c r="N1904" s="333"/>
    </row>
    <row r="1905" spans="1:14" ht="15.6" hidden="1">
      <c r="A1905" s="376">
        <v>45896</v>
      </c>
      <c r="B1905" s="179" t="s">
        <v>3706</v>
      </c>
      <c r="C1905" s="179" t="s">
        <v>173</v>
      </c>
      <c r="D1905" s="179" t="s">
        <v>442</v>
      </c>
      <c r="E1905" s="179">
        <v>2000</v>
      </c>
      <c r="F1905" s="317">
        <f t="shared" si="21"/>
        <v>3.5654310071272963</v>
      </c>
      <c r="G1905" s="318">
        <v>560.94200000000001</v>
      </c>
      <c r="H1905" s="179" t="s">
        <v>316</v>
      </c>
      <c r="I1905" s="179" t="s">
        <v>2523</v>
      </c>
      <c r="J1905" s="179" t="s">
        <v>97</v>
      </c>
      <c r="K1905" s="127" t="s">
        <v>1903</v>
      </c>
      <c r="L1905" s="179" t="s">
        <v>154</v>
      </c>
      <c r="M1905" s="333"/>
      <c r="N1905" s="333"/>
    </row>
    <row r="1906" spans="1:14" ht="15.6" hidden="1">
      <c r="A1906" s="376">
        <v>45896</v>
      </c>
      <c r="B1906" s="179" t="s">
        <v>3731</v>
      </c>
      <c r="C1906" s="179" t="s">
        <v>173</v>
      </c>
      <c r="D1906" s="179" t="s">
        <v>442</v>
      </c>
      <c r="E1906" s="179">
        <v>1000</v>
      </c>
      <c r="F1906" s="317">
        <f t="shared" si="21"/>
        <v>1.7827155035636482</v>
      </c>
      <c r="G1906" s="318">
        <v>560.94200000000001</v>
      </c>
      <c r="H1906" s="179" t="s">
        <v>316</v>
      </c>
      <c r="I1906" s="179" t="s">
        <v>2523</v>
      </c>
      <c r="J1906" s="179" t="s">
        <v>97</v>
      </c>
      <c r="K1906" s="127" t="s">
        <v>1903</v>
      </c>
      <c r="L1906" s="179" t="s">
        <v>154</v>
      </c>
      <c r="M1906" s="333"/>
      <c r="N1906" s="333"/>
    </row>
    <row r="1907" spans="1:14" ht="15.6" hidden="1">
      <c r="A1907" s="379">
        <v>45896</v>
      </c>
      <c r="B1907" s="179" t="s">
        <v>3732</v>
      </c>
      <c r="C1907" s="179" t="s">
        <v>173</v>
      </c>
      <c r="D1907" s="179" t="s">
        <v>442</v>
      </c>
      <c r="E1907" s="179">
        <v>1500</v>
      </c>
      <c r="F1907" s="317">
        <f t="shared" si="21"/>
        <v>2.6740732553454722</v>
      </c>
      <c r="G1907" s="318">
        <v>560.94200000000001</v>
      </c>
      <c r="H1907" s="179" t="s">
        <v>316</v>
      </c>
      <c r="I1907" s="179" t="s">
        <v>2523</v>
      </c>
      <c r="J1907" s="179" t="s">
        <v>97</v>
      </c>
      <c r="K1907" s="127" t="s">
        <v>1903</v>
      </c>
      <c r="L1907" s="179" t="s">
        <v>154</v>
      </c>
      <c r="M1907" s="333"/>
      <c r="N1907" s="333"/>
    </row>
    <row r="1908" spans="1:14" ht="15.6" hidden="1">
      <c r="A1908" s="379">
        <v>45896</v>
      </c>
      <c r="B1908" s="179" t="s">
        <v>2633</v>
      </c>
      <c r="C1908" s="179" t="s">
        <v>173</v>
      </c>
      <c r="D1908" s="179" t="s">
        <v>116</v>
      </c>
      <c r="E1908" s="332">
        <v>1000</v>
      </c>
      <c r="F1908" s="317">
        <f t="shared" si="21"/>
        <v>1.7827155035636482</v>
      </c>
      <c r="G1908" s="318">
        <v>560.94200000000001</v>
      </c>
      <c r="H1908" s="179" t="s">
        <v>192</v>
      </c>
      <c r="I1908" s="179" t="s">
        <v>2647</v>
      </c>
      <c r="J1908" s="179" t="s">
        <v>97</v>
      </c>
      <c r="K1908" s="127" t="s">
        <v>1903</v>
      </c>
      <c r="L1908" s="179" t="s">
        <v>154</v>
      </c>
      <c r="M1908" s="333"/>
      <c r="N1908" s="333"/>
    </row>
    <row r="1909" spans="1:14" ht="15.6" hidden="1">
      <c r="A1909" s="379">
        <v>45896</v>
      </c>
      <c r="B1909" s="179" t="s">
        <v>2635</v>
      </c>
      <c r="C1909" s="179" t="s">
        <v>173</v>
      </c>
      <c r="D1909" s="179" t="s">
        <v>116</v>
      </c>
      <c r="E1909" s="332">
        <v>1000</v>
      </c>
      <c r="F1909" s="317">
        <f t="shared" si="21"/>
        <v>1.7827155035636482</v>
      </c>
      <c r="G1909" s="318">
        <v>560.94200000000001</v>
      </c>
      <c r="H1909" s="179" t="s">
        <v>192</v>
      </c>
      <c r="I1909" s="179" t="s">
        <v>2647</v>
      </c>
      <c r="J1909" s="179" t="s">
        <v>97</v>
      </c>
      <c r="K1909" s="127" t="s">
        <v>1903</v>
      </c>
      <c r="L1909" s="179" t="s">
        <v>154</v>
      </c>
      <c r="M1909" s="333"/>
      <c r="N1909" s="333"/>
    </row>
    <row r="1910" spans="1:14" ht="15.6" hidden="1">
      <c r="A1910" s="381">
        <v>45896</v>
      </c>
      <c r="B1910" s="179" t="s">
        <v>2367</v>
      </c>
      <c r="C1910" s="179" t="s">
        <v>173</v>
      </c>
      <c r="D1910" s="179" t="s">
        <v>116</v>
      </c>
      <c r="E1910" s="332">
        <v>84000</v>
      </c>
      <c r="F1910" s="317">
        <f t="shared" si="21"/>
        <v>149.74810229934644</v>
      </c>
      <c r="G1910" s="318">
        <v>560.94200000000001</v>
      </c>
      <c r="H1910" s="179" t="s">
        <v>192</v>
      </c>
      <c r="I1910" s="179" t="s">
        <v>2368</v>
      </c>
      <c r="J1910" s="179" t="s">
        <v>97</v>
      </c>
      <c r="K1910" s="127" t="s">
        <v>1903</v>
      </c>
      <c r="L1910" s="179" t="s">
        <v>154</v>
      </c>
      <c r="M1910" s="333"/>
      <c r="N1910" s="333"/>
    </row>
    <row r="1911" spans="1:14" ht="15.6" hidden="1">
      <c r="A1911" s="381">
        <v>45896</v>
      </c>
      <c r="B1911" s="179" t="s">
        <v>2369</v>
      </c>
      <c r="C1911" s="179" t="s">
        <v>176</v>
      </c>
      <c r="D1911" s="179" t="s">
        <v>116</v>
      </c>
      <c r="E1911" s="332">
        <v>100000</v>
      </c>
      <c r="F1911" s="317">
        <f t="shared" si="21"/>
        <v>178.27155035636483</v>
      </c>
      <c r="G1911" s="318">
        <v>560.94200000000001</v>
      </c>
      <c r="H1911" s="179" t="s">
        <v>192</v>
      </c>
      <c r="I1911" s="179" t="s">
        <v>2370</v>
      </c>
      <c r="J1911" s="179" t="s">
        <v>97</v>
      </c>
      <c r="K1911" s="127" t="s">
        <v>1903</v>
      </c>
      <c r="L1911" s="179" t="s">
        <v>154</v>
      </c>
      <c r="M1911" s="333"/>
      <c r="N1911" s="333"/>
    </row>
    <row r="1912" spans="1:14" ht="15.6" hidden="1">
      <c r="A1912" s="379">
        <v>45896</v>
      </c>
      <c r="B1912" s="179" t="s">
        <v>2636</v>
      </c>
      <c r="C1912" s="179" t="s">
        <v>173</v>
      </c>
      <c r="D1912" s="179" t="s">
        <v>116</v>
      </c>
      <c r="E1912" s="332">
        <v>1000</v>
      </c>
      <c r="F1912" s="317">
        <f t="shared" si="21"/>
        <v>1.7827155035636482</v>
      </c>
      <c r="G1912" s="318">
        <v>560.94200000000001</v>
      </c>
      <c r="H1912" s="179" t="s">
        <v>192</v>
      </c>
      <c r="I1912" s="179" t="s">
        <v>2647</v>
      </c>
      <c r="J1912" s="179" t="s">
        <v>97</v>
      </c>
      <c r="K1912" s="127" t="s">
        <v>1903</v>
      </c>
      <c r="L1912" s="179" t="s">
        <v>154</v>
      </c>
      <c r="M1912" s="333"/>
      <c r="N1912" s="333"/>
    </row>
    <row r="1913" spans="1:14" ht="15.6" hidden="1">
      <c r="A1913" s="379">
        <v>45896</v>
      </c>
      <c r="B1913" s="179" t="s">
        <v>2637</v>
      </c>
      <c r="C1913" s="179" t="s">
        <v>173</v>
      </c>
      <c r="D1913" s="179" t="s">
        <v>116</v>
      </c>
      <c r="E1913" s="332">
        <v>1000</v>
      </c>
      <c r="F1913" s="317">
        <f t="shared" si="21"/>
        <v>1.7827155035636482</v>
      </c>
      <c r="G1913" s="318">
        <v>560.94200000000001</v>
      </c>
      <c r="H1913" s="179" t="s">
        <v>192</v>
      </c>
      <c r="I1913" s="179" t="s">
        <v>2647</v>
      </c>
      <c r="J1913" s="179" t="s">
        <v>97</v>
      </c>
      <c r="K1913" s="127" t="s">
        <v>1903</v>
      </c>
      <c r="L1913" s="179" t="s">
        <v>154</v>
      </c>
      <c r="M1913" s="333"/>
      <c r="N1913" s="333"/>
    </row>
    <row r="1914" spans="1:14" ht="15.6" hidden="1">
      <c r="A1914" s="375">
        <v>45896</v>
      </c>
      <c r="B1914" s="179" t="s">
        <v>2692</v>
      </c>
      <c r="C1914" s="396" t="s">
        <v>195</v>
      </c>
      <c r="D1914" s="396" t="s">
        <v>116</v>
      </c>
      <c r="E1914" s="369">
        <v>500</v>
      </c>
      <c r="F1914" s="317">
        <f t="shared" si="21"/>
        <v>0.89135775178182408</v>
      </c>
      <c r="G1914" s="318">
        <v>560.94200000000001</v>
      </c>
      <c r="H1914" s="256" t="s">
        <v>196</v>
      </c>
      <c r="I1914" s="179" t="s">
        <v>2707</v>
      </c>
      <c r="J1914" s="179" t="s">
        <v>97</v>
      </c>
      <c r="K1914" s="127" t="s">
        <v>1903</v>
      </c>
      <c r="L1914" s="179" t="s">
        <v>154</v>
      </c>
      <c r="M1914" s="333"/>
      <c r="N1914" s="333"/>
    </row>
    <row r="1915" spans="1:14" ht="15.6" hidden="1">
      <c r="A1915" s="375">
        <v>45896</v>
      </c>
      <c r="B1915" s="179" t="s">
        <v>2688</v>
      </c>
      <c r="C1915" s="179" t="s">
        <v>312</v>
      </c>
      <c r="D1915" s="396" t="s">
        <v>116</v>
      </c>
      <c r="E1915" s="369">
        <v>1500</v>
      </c>
      <c r="F1915" s="317">
        <f t="shared" si="21"/>
        <v>2.6740732553454722</v>
      </c>
      <c r="G1915" s="318">
        <v>560.94200000000001</v>
      </c>
      <c r="H1915" s="256" t="s">
        <v>196</v>
      </c>
      <c r="I1915" s="179" t="s">
        <v>2716</v>
      </c>
      <c r="J1915" s="179" t="s">
        <v>97</v>
      </c>
      <c r="K1915" s="127" t="s">
        <v>1903</v>
      </c>
      <c r="L1915" s="179" t="s">
        <v>154</v>
      </c>
      <c r="M1915" s="333"/>
      <c r="N1915" s="333"/>
    </row>
    <row r="1916" spans="1:14" ht="15.6" hidden="1">
      <c r="A1916" s="375">
        <v>45896</v>
      </c>
      <c r="B1916" s="179" t="s">
        <v>2686</v>
      </c>
      <c r="C1916" s="396" t="s">
        <v>195</v>
      </c>
      <c r="D1916" s="396" t="s">
        <v>116</v>
      </c>
      <c r="E1916" s="369">
        <v>500</v>
      </c>
      <c r="F1916" s="317">
        <f t="shared" si="21"/>
        <v>0.89135775178182408</v>
      </c>
      <c r="G1916" s="318">
        <v>560.94200000000001</v>
      </c>
      <c r="H1916" s="256" t="s">
        <v>196</v>
      </c>
      <c r="I1916" s="179" t="s">
        <v>2707</v>
      </c>
      <c r="J1916" s="179" t="s">
        <v>97</v>
      </c>
      <c r="K1916" s="127" t="s">
        <v>1903</v>
      </c>
      <c r="L1916" s="179" t="s">
        <v>154</v>
      </c>
      <c r="M1916" s="333"/>
      <c r="N1916" s="333"/>
    </row>
    <row r="1917" spans="1:14" ht="15.6" hidden="1">
      <c r="A1917" s="375">
        <v>45896</v>
      </c>
      <c r="B1917" s="179" t="s">
        <v>2693</v>
      </c>
      <c r="C1917" s="396" t="s">
        <v>195</v>
      </c>
      <c r="D1917" s="396" t="s">
        <v>116</v>
      </c>
      <c r="E1917" s="369">
        <v>500</v>
      </c>
      <c r="F1917" s="317">
        <f t="shared" si="21"/>
        <v>0.89135775178182408</v>
      </c>
      <c r="G1917" s="318">
        <v>560.94200000000001</v>
      </c>
      <c r="H1917" s="256" t="s">
        <v>196</v>
      </c>
      <c r="I1917" s="179" t="s">
        <v>2707</v>
      </c>
      <c r="J1917" s="179" t="s">
        <v>97</v>
      </c>
      <c r="K1917" s="127" t="s">
        <v>1903</v>
      </c>
      <c r="L1917" s="179" t="s">
        <v>154</v>
      </c>
      <c r="M1917" s="333"/>
      <c r="N1917" s="333"/>
    </row>
    <row r="1918" spans="1:14" ht="15.6" hidden="1">
      <c r="A1918" s="375">
        <v>45896</v>
      </c>
      <c r="B1918" s="179" t="s">
        <v>2694</v>
      </c>
      <c r="C1918" s="396" t="s">
        <v>195</v>
      </c>
      <c r="D1918" s="396" t="s">
        <v>116</v>
      </c>
      <c r="E1918" s="369">
        <v>500</v>
      </c>
      <c r="F1918" s="317">
        <f t="shared" si="21"/>
        <v>0.89135775178182408</v>
      </c>
      <c r="G1918" s="318">
        <v>560.94200000000001</v>
      </c>
      <c r="H1918" s="256" t="s">
        <v>196</v>
      </c>
      <c r="I1918" s="179" t="s">
        <v>2707</v>
      </c>
      <c r="J1918" s="179" t="s">
        <v>97</v>
      </c>
      <c r="K1918" s="127" t="s">
        <v>1903</v>
      </c>
      <c r="L1918" s="179" t="s">
        <v>154</v>
      </c>
      <c r="M1918" s="333"/>
      <c r="N1918" s="333"/>
    </row>
    <row r="1919" spans="1:14" ht="15.6" hidden="1">
      <c r="A1919" s="375">
        <v>45896</v>
      </c>
      <c r="B1919" s="179" t="s">
        <v>2695</v>
      </c>
      <c r="C1919" s="396" t="s">
        <v>195</v>
      </c>
      <c r="D1919" s="396" t="s">
        <v>116</v>
      </c>
      <c r="E1919" s="369">
        <v>500</v>
      </c>
      <c r="F1919" s="317">
        <f t="shared" si="21"/>
        <v>0.89135775178182408</v>
      </c>
      <c r="G1919" s="318">
        <v>560.94200000000001</v>
      </c>
      <c r="H1919" s="256" t="s">
        <v>196</v>
      </c>
      <c r="I1919" s="179" t="s">
        <v>2707</v>
      </c>
      <c r="J1919" s="179" t="s">
        <v>97</v>
      </c>
      <c r="K1919" s="127" t="s">
        <v>1903</v>
      </c>
      <c r="L1919" s="179" t="s">
        <v>154</v>
      </c>
      <c r="M1919" s="333"/>
      <c r="N1919" s="333"/>
    </row>
    <row r="1920" spans="1:14" ht="15.6" hidden="1">
      <c r="A1920" s="375">
        <v>45896</v>
      </c>
      <c r="B1920" s="179" t="s">
        <v>2696</v>
      </c>
      <c r="C1920" s="396" t="s">
        <v>195</v>
      </c>
      <c r="D1920" s="396" t="s">
        <v>116</v>
      </c>
      <c r="E1920" s="369">
        <v>500</v>
      </c>
      <c r="F1920" s="317">
        <f t="shared" si="21"/>
        <v>0.89135775178182408</v>
      </c>
      <c r="G1920" s="318">
        <v>560.94200000000001</v>
      </c>
      <c r="H1920" s="256" t="s">
        <v>196</v>
      </c>
      <c r="I1920" s="179" t="s">
        <v>2707</v>
      </c>
      <c r="J1920" s="179" t="s">
        <v>97</v>
      </c>
      <c r="K1920" s="127" t="s">
        <v>1903</v>
      </c>
      <c r="L1920" s="179" t="s">
        <v>154</v>
      </c>
      <c r="M1920" s="333"/>
      <c r="N1920" s="333"/>
    </row>
    <row r="1921" spans="1:14" ht="15.6" hidden="1">
      <c r="A1921" s="375">
        <v>45896</v>
      </c>
      <c r="B1921" s="179" t="s">
        <v>2697</v>
      </c>
      <c r="C1921" s="396" t="s">
        <v>195</v>
      </c>
      <c r="D1921" s="396" t="s">
        <v>116</v>
      </c>
      <c r="E1921" s="369">
        <v>500</v>
      </c>
      <c r="F1921" s="317">
        <f t="shared" si="21"/>
        <v>0.89135775178182408</v>
      </c>
      <c r="G1921" s="318">
        <v>560.94200000000001</v>
      </c>
      <c r="H1921" s="256" t="s">
        <v>196</v>
      </c>
      <c r="I1921" s="179" t="s">
        <v>2707</v>
      </c>
      <c r="J1921" s="179" t="s">
        <v>97</v>
      </c>
      <c r="K1921" s="127" t="s">
        <v>1903</v>
      </c>
      <c r="L1921" s="179" t="s">
        <v>154</v>
      </c>
      <c r="M1921" s="333"/>
      <c r="N1921" s="333"/>
    </row>
    <row r="1922" spans="1:14" ht="15.6" hidden="1">
      <c r="A1922" s="375">
        <v>45896</v>
      </c>
      <c r="B1922" s="179" t="s">
        <v>2685</v>
      </c>
      <c r="C1922" s="179" t="s">
        <v>312</v>
      </c>
      <c r="D1922" s="396" t="s">
        <v>116</v>
      </c>
      <c r="E1922" s="369">
        <v>1500</v>
      </c>
      <c r="F1922" s="317">
        <f t="shared" si="21"/>
        <v>2.6740732553454722</v>
      </c>
      <c r="G1922" s="318">
        <v>560.94200000000001</v>
      </c>
      <c r="H1922" s="256" t="s">
        <v>196</v>
      </c>
      <c r="I1922" s="179" t="s">
        <v>2716</v>
      </c>
      <c r="J1922" s="179" t="s">
        <v>97</v>
      </c>
      <c r="K1922" s="127" t="s">
        <v>1903</v>
      </c>
      <c r="L1922" s="179" t="s">
        <v>154</v>
      </c>
      <c r="M1922" s="333"/>
      <c r="N1922" s="333"/>
    </row>
    <row r="1923" spans="1:14" ht="15.6" hidden="1">
      <c r="A1923" s="375">
        <v>45896</v>
      </c>
      <c r="B1923" s="179" t="s">
        <v>2686</v>
      </c>
      <c r="C1923" s="396" t="s">
        <v>195</v>
      </c>
      <c r="D1923" s="396" t="s">
        <v>116</v>
      </c>
      <c r="E1923" s="369">
        <v>500</v>
      </c>
      <c r="F1923" s="317">
        <f t="shared" si="21"/>
        <v>0.89135775178182408</v>
      </c>
      <c r="G1923" s="318">
        <v>560.94200000000001</v>
      </c>
      <c r="H1923" s="256" t="s">
        <v>196</v>
      </c>
      <c r="I1923" s="179" t="s">
        <v>2707</v>
      </c>
      <c r="J1923" s="179" t="s">
        <v>97</v>
      </c>
      <c r="K1923" s="127" t="s">
        <v>1903</v>
      </c>
      <c r="L1923" s="179" t="s">
        <v>154</v>
      </c>
      <c r="M1923" s="333"/>
      <c r="N1923" s="333"/>
    </row>
    <row r="1924" spans="1:14" ht="15.6" hidden="1">
      <c r="A1924" s="376">
        <v>45896</v>
      </c>
      <c r="B1924" s="179" t="s">
        <v>2729</v>
      </c>
      <c r="C1924" s="179" t="s">
        <v>173</v>
      </c>
      <c r="D1924" s="179" t="s">
        <v>119</v>
      </c>
      <c r="E1924" s="369">
        <v>500</v>
      </c>
      <c r="F1924" s="317">
        <f t="shared" si="21"/>
        <v>0.89135775178182408</v>
      </c>
      <c r="G1924" s="318">
        <v>560.94200000000001</v>
      </c>
      <c r="H1924" s="179" t="s">
        <v>212</v>
      </c>
      <c r="I1924" s="179" t="s">
        <v>2739</v>
      </c>
      <c r="J1924" s="179" t="s">
        <v>97</v>
      </c>
      <c r="K1924" s="127" t="s">
        <v>1903</v>
      </c>
      <c r="L1924" s="179" t="s">
        <v>154</v>
      </c>
      <c r="M1924" s="333"/>
      <c r="N1924" s="333"/>
    </row>
    <row r="1925" spans="1:14" ht="15.6" hidden="1">
      <c r="A1925" s="376">
        <v>45896</v>
      </c>
      <c r="B1925" s="179" t="s">
        <v>2732</v>
      </c>
      <c r="C1925" s="179" t="s">
        <v>173</v>
      </c>
      <c r="D1925" s="179" t="s">
        <v>119</v>
      </c>
      <c r="E1925" s="369">
        <v>500</v>
      </c>
      <c r="F1925" s="317">
        <f t="shared" si="21"/>
        <v>0.89135775178182408</v>
      </c>
      <c r="G1925" s="318">
        <v>560.94200000000001</v>
      </c>
      <c r="H1925" s="179" t="s">
        <v>212</v>
      </c>
      <c r="I1925" s="179" t="s">
        <v>2739</v>
      </c>
      <c r="J1925" s="179" t="s">
        <v>97</v>
      </c>
      <c r="K1925" s="127" t="s">
        <v>1903</v>
      </c>
      <c r="L1925" s="179" t="s">
        <v>154</v>
      </c>
      <c r="M1925" s="333"/>
      <c r="N1925" s="333"/>
    </row>
    <row r="1926" spans="1:14" ht="15.6" hidden="1">
      <c r="A1926" s="379">
        <v>45897</v>
      </c>
      <c r="B1926" s="179" t="s">
        <v>2634</v>
      </c>
      <c r="C1926" s="179" t="s">
        <v>173</v>
      </c>
      <c r="D1926" s="179" t="s">
        <v>116</v>
      </c>
      <c r="E1926" s="332">
        <v>37000</v>
      </c>
      <c r="F1926" s="317">
        <f t="shared" si="21"/>
        <v>65.960473631854981</v>
      </c>
      <c r="G1926" s="318">
        <v>560.94200000000001</v>
      </c>
      <c r="H1926" s="179" t="s">
        <v>192</v>
      </c>
      <c r="I1926" s="179" t="s">
        <v>2656</v>
      </c>
      <c r="J1926" s="179" t="s">
        <v>97</v>
      </c>
      <c r="K1926" s="127" t="s">
        <v>1903</v>
      </c>
      <c r="L1926" s="179" t="s">
        <v>154</v>
      </c>
      <c r="M1926" s="333"/>
      <c r="N1926" s="333"/>
    </row>
    <row r="1927" spans="1:14" ht="15.6" hidden="1">
      <c r="A1927" s="372">
        <v>45897</v>
      </c>
      <c r="B1927" s="396" t="s">
        <v>2100</v>
      </c>
      <c r="C1927" s="303" t="s">
        <v>173</v>
      </c>
      <c r="D1927" s="303" t="s">
        <v>118</v>
      </c>
      <c r="E1927" s="396">
        <v>1000</v>
      </c>
      <c r="F1927" s="317">
        <f t="shared" si="21"/>
        <v>1.7827155035636482</v>
      </c>
      <c r="G1927" s="318">
        <v>560.94200000000001</v>
      </c>
      <c r="H1927" s="403" t="s">
        <v>152</v>
      </c>
      <c r="I1927" s="404" t="s">
        <v>2425</v>
      </c>
      <c r="J1927" s="179" t="s">
        <v>97</v>
      </c>
      <c r="K1927" s="127" t="s">
        <v>1903</v>
      </c>
      <c r="L1927" s="179" t="s">
        <v>154</v>
      </c>
      <c r="M1927" s="390"/>
      <c r="N1927" s="390"/>
    </row>
    <row r="1928" spans="1:14" ht="15.6" hidden="1">
      <c r="A1928" s="372">
        <v>45897</v>
      </c>
      <c r="B1928" s="396" t="s">
        <v>2109</v>
      </c>
      <c r="C1928" s="303" t="s">
        <v>173</v>
      </c>
      <c r="D1928" s="303" t="s">
        <v>118</v>
      </c>
      <c r="E1928" s="396">
        <v>1000</v>
      </c>
      <c r="F1928" s="317">
        <f t="shared" si="21"/>
        <v>1.7827155035636482</v>
      </c>
      <c r="G1928" s="318">
        <v>560.94200000000001</v>
      </c>
      <c r="H1928" s="403" t="s">
        <v>152</v>
      </c>
      <c r="I1928" s="404" t="s">
        <v>2425</v>
      </c>
      <c r="J1928" s="179" t="s">
        <v>97</v>
      </c>
      <c r="K1928" s="127" t="s">
        <v>1903</v>
      </c>
      <c r="L1928" s="179" t="s">
        <v>154</v>
      </c>
      <c r="M1928" s="390"/>
      <c r="N1928" s="390"/>
    </row>
    <row r="1929" spans="1:14" ht="15.6" hidden="1">
      <c r="A1929" s="372">
        <v>45897</v>
      </c>
      <c r="B1929" s="396" t="s">
        <v>2110</v>
      </c>
      <c r="C1929" s="303" t="s">
        <v>173</v>
      </c>
      <c r="D1929" s="303" t="s">
        <v>118</v>
      </c>
      <c r="E1929" s="396">
        <v>1000</v>
      </c>
      <c r="F1929" s="317">
        <f t="shared" si="21"/>
        <v>1.7827155035636482</v>
      </c>
      <c r="G1929" s="318">
        <v>560.94200000000001</v>
      </c>
      <c r="H1929" s="403" t="s">
        <v>152</v>
      </c>
      <c r="I1929" s="404" t="s">
        <v>2425</v>
      </c>
      <c r="J1929" s="179" t="s">
        <v>97</v>
      </c>
      <c r="K1929" s="127" t="s">
        <v>1903</v>
      </c>
      <c r="L1929" s="179" t="s">
        <v>154</v>
      </c>
      <c r="M1929" s="390"/>
      <c r="N1929" s="390"/>
    </row>
    <row r="1930" spans="1:14" ht="15.6" hidden="1">
      <c r="A1930" s="372">
        <v>45897</v>
      </c>
      <c r="B1930" s="396" t="s">
        <v>2101</v>
      </c>
      <c r="C1930" s="303" t="s">
        <v>173</v>
      </c>
      <c r="D1930" s="303" t="s">
        <v>118</v>
      </c>
      <c r="E1930" s="396">
        <v>1000</v>
      </c>
      <c r="F1930" s="317">
        <f t="shared" si="21"/>
        <v>1.7827155035636482</v>
      </c>
      <c r="G1930" s="318">
        <v>560.94200000000001</v>
      </c>
      <c r="H1930" s="403" t="s">
        <v>152</v>
      </c>
      <c r="I1930" s="404" t="s">
        <v>2425</v>
      </c>
      <c r="J1930" s="179" t="s">
        <v>97</v>
      </c>
      <c r="K1930" s="127" t="s">
        <v>1903</v>
      </c>
      <c r="L1930" s="179" t="s">
        <v>154</v>
      </c>
      <c r="M1930" s="390"/>
      <c r="N1930" s="390"/>
    </row>
    <row r="1931" spans="1:14" ht="15.6" hidden="1">
      <c r="A1931" s="374">
        <v>45897</v>
      </c>
      <c r="B1931" s="395" t="s">
        <v>2419</v>
      </c>
      <c r="C1931" s="395" t="s">
        <v>173</v>
      </c>
      <c r="D1931" s="395" t="s">
        <v>116</v>
      </c>
      <c r="E1931" s="405">
        <v>500</v>
      </c>
      <c r="F1931" s="317">
        <f t="shared" si="21"/>
        <v>0.89135775178182408</v>
      </c>
      <c r="G1931" s="318">
        <v>560.94200000000001</v>
      </c>
      <c r="H1931" s="174" t="s">
        <v>199</v>
      </c>
      <c r="I1931" s="395" t="s">
        <v>2423</v>
      </c>
      <c r="J1931" s="179" t="s">
        <v>97</v>
      </c>
      <c r="K1931" s="127" t="s">
        <v>1903</v>
      </c>
      <c r="L1931" s="179" t="s">
        <v>154</v>
      </c>
      <c r="M1931" s="390"/>
      <c r="N1931" s="390"/>
    </row>
    <row r="1932" spans="1:14" ht="15.6" hidden="1">
      <c r="A1932" s="374">
        <v>45897</v>
      </c>
      <c r="B1932" s="395" t="s">
        <v>2418</v>
      </c>
      <c r="C1932" s="395" t="s">
        <v>173</v>
      </c>
      <c r="D1932" s="395" t="s">
        <v>116</v>
      </c>
      <c r="E1932" s="405">
        <v>500</v>
      </c>
      <c r="F1932" s="317">
        <f t="shared" ref="F1932:F1963" si="22">E1932/G1932</f>
        <v>0.89135775178182408</v>
      </c>
      <c r="G1932" s="318">
        <v>560.94200000000001</v>
      </c>
      <c r="H1932" s="174" t="s">
        <v>199</v>
      </c>
      <c r="I1932" s="395" t="s">
        <v>2423</v>
      </c>
      <c r="J1932" s="179" t="s">
        <v>97</v>
      </c>
      <c r="K1932" s="127" t="s">
        <v>1903</v>
      </c>
      <c r="L1932" s="179" t="s">
        <v>154</v>
      </c>
      <c r="M1932" s="390"/>
      <c r="N1932" s="390"/>
    </row>
    <row r="1933" spans="1:14" ht="15.6" hidden="1">
      <c r="A1933" s="241">
        <v>45897</v>
      </c>
      <c r="B1933" s="174" t="s">
        <v>3809</v>
      </c>
      <c r="C1933" s="174" t="s">
        <v>173</v>
      </c>
      <c r="D1933" s="179" t="s">
        <v>442</v>
      </c>
      <c r="E1933" s="174">
        <v>500</v>
      </c>
      <c r="F1933" s="317">
        <f t="shared" si="22"/>
        <v>0.89135775178182408</v>
      </c>
      <c r="G1933" s="318">
        <v>560.94200000000001</v>
      </c>
      <c r="H1933" s="174" t="s">
        <v>183</v>
      </c>
      <c r="I1933" s="174" t="s">
        <v>2473</v>
      </c>
      <c r="J1933" s="179" t="s">
        <v>97</v>
      </c>
      <c r="K1933" s="127" t="s">
        <v>1903</v>
      </c>
      <c r="L1933" s="179" t="s">
        <v>154</v>
      </c>
      <c r="M1933" s="333"/>
      <c r="N1933" s="333"/>
    </row>
    <row r="1934" spans="1:14" ht="15.6" hidden="1">
      <c r="A1934" s="241">
        <v>45897</v>
      </c>
      <c r="B1934" s="174" t="s">
        <v>3810</v>
      </c>
      <c r="C1934" s="174" t="s">
        <v>173</v>
      </c>
      <c r="D1934" s="179" t="s">
        <v>442</v>
      </c>
      <c r="E1934" s="174">
        <v>500</v>
      </c>
      <c r="F1934" s="317">
        <f t="shared" si="22"/>
        <v>0.89135775178182408</v>
      </c>
      <c r="G1934" s="318">
        <v>560.94200000000001</v>
      </c>
      <c r="H1934" s="174" t="s">
        <v>183</v>
      </c>
      <c r="I1934" s="174" t="s">
        <v>2473</v>
      </c>
      <c r="J1934" s="179" t="s">
        <v>97</v>
      </c>
      <c r="K1934" s="127" t="s">
        <v>1903</v>
      </c>
      <c r="L1934" s="179" t="s">
        <v>154</v>
      </c>
      <c r="M1934" s="333"/>
      <c r="N1934" s="333"/>
    </row>
    <row r="1935" spans="1:14" ht="15.6" hidden="1">
      <c r="A1935" s="241">
        <v>45897</v>
      </c>
      <c r="B1935" s="174" t="s">
        <v>3811</v>
      </c>
      <c r="C1935" s="174" t="s">
        <v>173</v>
      </c>
      <c r="D1935" s="179" t="s">
        <v>442</v>
      </c>
      <c r="E1935" s="174">
        <v>500</v>
      </c>
      <c r="F1935" s="317">
        <f t="shared" si="22"/>
        <v>0.89135775178182408</v>
      </c>
      <c r="G1935" s="318">
        <v>560.94200000000001</v>
      </c>
      <c r="H1935" s="174" t="s">
        <v>183</v>
      </c>
      <c r="I1935" s="174" t="s">
        <v>2473</v>
      </c>
      <c r="J1935" s="179" t="s">
        <v>97</v>
      </c>
      <c r="K1935" s="127" t="s">
        <v>1903</v>
      </c>
      <c r="L1935" s="179" t="s">
        <v>154</v>
      </c>
      <c r="M1935" s="333"/>
      <c r="N1935" s="333"/>
    </row>
    <row r="1936" spans="1:14" ht="15.6" hidden="1">
      <c r="A1936" s="376">
        <v>45897</v>
      </c>
      <c r="B1936" s="179" t="s">
        <v>3686</v>
      </c>
      <c r="C1936" s="179" t="s">
        <v>173</v>
      </c>
      <c r="D1936" s="179" t="s">
        <v>442</v>
      </c>
      <c r="E1936" s="369">
        <v>1000</v>
      </c>
      <c r="F1936" s="317">
        <f t="shared" si="22"/>
        <v>1.7827155035636482</v>
      </c>
      <c r="G1936" s="318">
        <v>560.94200000000001</v>
      </c>
      <c r="H1936" s="179" t="s">
        <v>322</v>
      </c>
      <c r="I1936" s="179" t="s">
        <v>2572</v>
      </c>
      <c r="J1936" s="179" t="s">
        <v>97</v>
      </c>
      <c r="K1936" s="127" t="s">
        <v>1903</v>
      </c>
      <c r="L1936" s="179" t="s">
        <v>154</v>
      </c>
      <c r="M1936" s="333"/>
      <c r="N1936" s="333"/>
    </row>
    <row r="1937" spans="1:14" ht="15.6" hidden="1">
      <c r="A1937" s="376">
        <v>45897</v>
      </c>
      <c r="B1937" s="179" t="s">
        <v>2568</v>
      </c>
      <c r="C1937" s="179" t="s">
        <v>173</v>
      </c>
      <c r="D1937" s="179" t="s">
        <v>442</v>
      </c>
      <c r="E1937" s="369">
        <v>1000</v>
      </c>
      <c r="F1937" s="317">
        <f t="shared" si="22"/>
        <v>1.7827155035636482</v>
      </c>
      <c r="G1937" s="318">
        <v>560.94200000000001</v>
      </c>
      <c r="H1937" s="179" t="s">
        <v>322</v>
      </c>
      <c r="I1937" s="179" t="s">
        <v>2572</v>
      </c>
      <c r="J1937" s="179" t="s">
        <v>97</v>
      </c>
      <c r="K1937" s="127" t="s">
        <v>1903</v>
      </c>
      <c r="L1937" s="179" t="s">
        <v>154</v>
      </c>
      <c r="M1937" s="333"/>
      <c r="N1937" s="333"/>
    </row>
    <row r="1938" spans="1:14" ht="15.6" hidden="1">
      <c r="A1938" s="376">
        <v>45897</v>
      </c>
      <c r="B1938" s="179" t="s">
        <v>2569</v>
      </c>
      <c r="C1938" s="179" t="s">
        <v>173</v>
      </c>
      <c r="D1938" s="179" t="s">
        <v>442</v>
      </c>
      <c r="E1938" s="369">
        <v>1000</v>
      </c>
      <c r="F1938" s="317">
        <f t="shared" si="22"/>
        <v>1.7827155035636482</v>
      </c>
      <c r="G1938" s="318">
        <v>560.94200000000001</v>
      </c>
      <c r="H1938" s="179" t="s">
        <v>322</v>
      </c>
      <c r="I1938" s="179" t="s">
        <v>2572</v>
      </c>
      <c r="J1938" s="179" t="s">
        <v>97</v>
      </c>
      <c r="K1938" s="127" t="s">
        <v>1903</v>
      </c>
      <c r="L1938" s="179" t="s">
        <v>154</v>
      </c>
      <c r="M1938" s="333"/>
      <c r="N1938" s="333"/>
    </row>
    <row r="1939" spans="1:14" ht="15.6" hidden="1">
      <c r="A1939" s="380">
        <v>45897</v>
      </c>
      <c r="B1939" s="179" t="s">
        <v>2570</v>
      </c>
      <c r="C1939" s="179" t="s">
        <v>173</v>
      </c>
      <c r="D1939" s="179" t="s">
        <v>442</v>
      </c>
      <c r="E1939" s="369">
        <v>1000</v>
      </c>
      <c r="F1939" s="317">
        <f t="shared" si="22"/>
        <v>1.7827155035636482</v>
      </c>
      <c r="G1939" s="318">
        <v>560.94200000000001</v>
      </c>
      <c r="H1939" s="179" t="s">
        <v>322</v>
      </c>
      <c r="I1939" s="179" t="s">
        <v>2572</v>
      </c>
      <c r="J1939" s="179" t="s">
        <v>97</v>
      </c>
      <c r="K1939" s="127" t="s">
        <v>1903</v>
      </c>
      <c r="L1939" s="179" t="s">
        <v>154</v>
      </c>
      <c r="M1939" s="333"/>
      <c r="N1939" s="333"/>
    </row>
    <row r="1940" spans="1:14" ht="15.6" hidden="1">
      <c r="A1940" s="379">
        <v>45897</v>
      </c>
      <c r="B1940" s="179" t="s">
        <v>2638</v>
      </c>
      <c r="C1940" s="179" t="s">
        <v>173</v>
      </c>
      <c r="D1940" s="179" t="s">
        <v>116</v>
      </c>
      <c r="E1940" s="332">
        <v>1000</v>
      </c>
      <c r="F1940" s="317">
        <f t="shared" si="22"/>
        <v>1.7827155035636482</v>
      </c>
      <c r="G1940" s="318">
        <v>560.94200000000001</v>
      </c>
      <c r="H1940" s="179" t="s">
        <v>192</v>
      </c>
      <c r="I1940" s="179" t="s">
        <v>2647</v>
      </c>
      <c r="J1940" s="179" t="s">
        <v>97</v>
      </c>
      <c r="K1940" s="127" t="s">
        <v>1903</v>
      </c>
      <c r="L1940" s="179" t="s">
        <v>154</v>
      </c>
      <c r="M1940" s="333"/>
      <c r="N1940" s="333"/>
    </row>
    <row r="1941" spans="1:14" ht="15.6" hidden="1">
      <c r="A1941" s="379">
        <v>45897</v>
      </c>
      <c r="B1941" s="179" t="s">
        <v>2639</v>
      </c>
      <c r="C1941" s="179" t="s">
        <v>173</v>
      </c>
      <c r="D1941" s="179" t="s">
        <v>116</v>
      </c>
      <c r="E1941" s="332">
        <v>500</v>
      </c>
      <c r="F1941" s="317">
        <f t="shared" si="22"/>
        <v>0.89135775178182408</v>
      </c>
      <c r="G1941" s="318">
        <v>560.94200000000001</v>
      </c>
      <c r="H1941" s="179" t="s">
        <v>192</v>
      </c>
      <c r="I1941" s="179" t="s">
        <v>2647</v>
      </c>
      <c r="J1941" s="179" t="s">
        <v>97</v>
      </c>
      <c r="K1941" s="127" t="s">
        <v>1903</v>
      </c>
      <c r="L1941" s="179" t="s">
        <v>154</v>
      </c>
      <c r="M1941" s="333"/>
      <c r="N1941" s="333"/>
    </row>
    <row r="1942" spans="1:14" ht="15.6" hidden="1">
      <c r="A1942" s="379">
        <v>45897</v>
      </c>
      <c r="B1942" s="179" t="s">
        <v>2640</v>
      </c>
      <c r="C1942" s="179" t="s">
        <v>176</v>
      </c>
      <c r="D1942" s="179" t="s">
        <v>116</v>
      </c>
      <c r="E1942" s="332">
        <v>40000</v>
      </c>
      <c r="F1942" s="317">
        <f t="shared" si="22"/>
        <v>71.308620142545934</v>
      </c>
      <c r="G1942" s="318">
        <v>560.94200000000001</v>
      </c>
      <c r="H1942" s="179" t="s">
        <v>192</v>
      </c>
      <c r="I1942" s="179" t="s">
        <v>2657</v>
      </c>
      <c r="J1942" s="179" t="s">
        <v>97</v>
      </c>
      <c r="K1942" s="127" t="s">
        <v>1903</v>
      </c>
      <c r="L1942" s="179" t="s">
        <v>154</v>
      </c>
      <c r="M1942" s="333"/>
      <c r="N1942" s="333"/>
    </row>
    <row r="1943" spans="1:14" ht="15.6" hidden="1">
      <c r="A1943" s="375">
        <v>45897</v>
      </c>
      <c r="B1943" s="179" t="s">
        <v>2698</v>
      </c>
      <c r="C1943" s="396" t="s">
        <v>195</v>
      </c>
      <c r="D1943" s="396" t="s">
        <v>116</v>
      </c>
      <c r="E1943" s="369">
        <v>500</v>
      </c>
      <c r="F1943" s="317">
        <f t="shared" si="22"/>
        <v>0.89135775178182408</v>
      </c>
      <c r="G1943" s="318">
        <v>560.94200000000001</v>
      </c>
      <c r="H1943" s="256" t="s">
        <v>196</v>
      </c>
      <c r="I1943" s="179" t="s">
        <v>2707</v>
      </c>
      <c r="J1943" s="179" t="s">
        <v>97</v>
      </c>
      <c r="K1943" s="127" t="s">
        <v>1903</v>
      </c>
      <c r="L1943" s="179" t="s">
        <v>154</v>
      </c>
      <c r="M1943" s="333"/>
      <c r="N1943" s="333"/>
    </row>
    <row r="1944" spans="1:14" ht="15.6" hidden="1">
      <c r="A1944" s="375">
        <v>45897</v>
      </c>
      <c r="B1944" s="179" t="s">
        <v>2688</v>
      </c>
      <c r="C1944" s="179" t="s">
        <v>312</v>
      </c>
      <c r="D1944" s="396" t="s">
        <v>116</v>
      </c>
      <c r="E1944" s="369">
        <v>1500</v>
      </c>
      <c r="F1944" s="317">
        <f t="shared" si="22"/>
        <v>2.6740732553454722</v>
      </c>
      <c r="G1944" s="318">
        <v>560.94200000000001</v>
      </c>
      <c r="H1944" s="256" t="s">
        <v>196</v>
      </c>
      <c r="I1944" s="179" t="s">
        <v>2716</v>
      </c>
      <c r="J1944" s="179" t="s">
        <v>97</v>
      </c>
      <c r="K1944" s="127" t="s">
        <v>1903</v>
      </c>
      <c r="L1944" s="179" t="s">
        <v>154</v>
      </c>
      <c r="M1944" s="333"/>
      <c r="N1944" s="333"/>
    </row>
    <row r="1945" spans="1:14" ht="15.6" hidden="1">
      <c r="A1945" s="375">
        <v>45897</v>
      </c>
      <c r="B1945" s="179" t="s">
        <v>2686</v>
      </c>
      <c r="C1945" s="396" t="s">
        <v>195</v>
      </c>
      <c r="D1945" s="396" t="s">
        <v>116</v>
      </c>
      <c r="E1945" s="369">
        <v>500</v>
      </c>
      <c r="F1945" s="317">
        <f t="shared" si="22"/>
        <v>0.89135775178182408</v>
      </c>
      <c r="G1945" s="318">
        <v>560.94200000000001</v>
      </c>
      <c r="H1945" s="256" t="s">
        <v>196</v>
      </c>
      <c r="I1945" s="179" t="s">
        <v>2707</v>
      </c>
      <c r="J1945" s="179" t="s">
        <v>97</v>
      </c>
      <c r="K1945" s="127" t="s">
        <v>1903</v>
      </c>
      <c r="L1945" s="179" t="s">
        <v>154</v>
      </c>
      <c r="M1945" s="333"/>
      <c r="N1945" s="333"/>
    </row>
    <row r="1946" spans="1:14" ht="15.6" hidden="1">
      <c r="A1946" s="375">
        <v>45897</v>
      </c>
      <c r="B1946" s="179" t="s">
        <v>2693</v>
      </c>
      <c r="C1946" s="396" t="s">
        <v>195</v>
      </c>
      <c r="D1946" s="396" t="s">
        <v>116</v>
      </c>
      <c r="E1946" s="369">
        <v>500</v>
      </c>
      <c r="F1946" s="317">
        <f t="shared" si="22"/>
        <v>0.89135775178182408</v>
      </c>
      <c r="G1946" s="318">
        <v>560.94200000000001</v>
      </c>
      <c r="H1946" s="256" t="s">
        <v>196</v>
      </c>
      <c r="I1946" s="179" t="s">
        <v>2707</v>
      </c>
      <c r="J1946" s="179" t="s">
        <v>97</v>
      </c>
      <c r="K1946" s="127" t="s">
        <v>1903</v>
      </c>
      <c r="L1946" s="179" t="s">
        <v>154</v>
      </c>
      <c r="M1946" s="333"/>
      <c r="N1946" s="333"/>
    </row>
    <row r="1947" spans="1:14" ht="15.6" hidden="1">
      <c r="A1947" s="375">
        <v>45897</v>
      </c>
      <c r="B1947" s="179" t="s">
        <v>2694</v>
      </c>
      <c r="C1947" s="396" t="s">
        <v>195</v>
      </c>
      <c r="D1947" s="396" t="s">
        <v>116</v>
      </c>
      <c r="E1947" s="369">
        <v>500</v>
      </c>
      <c r="F1947" s="317">
        <f t="shared" si="22"/>
        <v>0.89135775178182408</v>
      </c>
      <c r="G1947" s="318">
        <v>560.94200000000001</v>
      </c>
      <c r="H1947" s="256" t="s">
        <v>196</v>
      </c>
      <c r="I1947" s="179" t="s">
        <v>2707</v>
      </c>
      <c r="J1947" s="179" t="s">
        <v>97</v>
      </c>
      <c r="K1947" s="127" t="s">
        <v>1903</v>
      </c>
      <c r="L1947" s="179" t="s">
        <v>154</v>
      </c>
      <c r="M1947" s="333"/>
      <c r="N1947" s="333"/>
    </row>
    <row r="1948" spans="1:14" ht="15.6" hidden="1">
      <c r="A1948" s="375">
        <v>45897</v>
      </c>
      <c r="B1948" s="179" t="s">
        <v>2699</v>
      </c>
      <c r="C1948" s="396" t="s">
        <v>195</v>
      </c>
      <c r="D1948" s="396" t="s">
        <v>116</v>
      </c>
      <c r="E1948" s="369">
        <v>500</v>
      </c>
      <c r="F1948" s="317">
        <f t="shared" si="22"/>
        <v>0.89135775178182408</v>
      </c>
      <c r="G1948" s="318">
        <v>560.94200000000001</v>
      </c>
      <c r="H1948" s="256" t="s">
        <v>196</v>
      </c>
      <c r="I1948" s="179" t="s">
        <v>2707</v>
      </c>
      <c r="J1948" s="179" t="s">
        <v>97</v>
      </c>
      <c r="K1948" s="127" t="s">
        <v>1903</v>
      </c>
      <c r="L1948" s="179" t="s">
        <v>154</v>
      </c>
      <c r="M1948" s="333"/>
      <c r="N1948" s="333"/>
    </row>
    <row r="1949" spans="1:14" ht="15.6" hidden="1">
      <c r="A1949" s="375">
        <v>45897</v>
      </c>
      <c r="B1949" s="179" t="s">
        <v>2700</v>
      </c>
      <c r="C1949" s="396" t="s">
        <v>195</v>
      </c>
      <c r="D1949" s="396" t="s">
        <v>116</v>
      </c>
      <c r="E1949" s="369">
        <v>500</v>
      </c>
      <c r="F1949" s="317">
        <f t="shared" si="22"/>
        <v>0.89135775178182408</v>
      </c>
      <c r="G1949" s="318">
        <v>560.94200000000001</v>
      </c>
      <c r="H1949" s="256" t="s">
        <v>196</v>
      </c>
      <c r="I1949" s="179" t="s">
        <v>2707</v>
      </c>
      <c r="J1949" s="179" t="s">
        <v>97</v>
      </c>
      <c r="K1949" s="127" t="s">
        <v>1903</v>
      </c>
      <c r="L1949" s="179" t="s">
        <v>154</v>
      </c>
      <c r="M1949" s="333"/>
      <c r="N1949" s="333"/>
    </row>
    <row r="1950" spans="1:14" ht="15.6" hidden="1">
      <c r="A1950" s="375">
        <v>45897</v>
      </c>
      <c r="B1950" s="179" t="s">
        <v>2685</v>
      </c>
      <c r="C1950" s="179" t="s">
        <v>312</v>
      </c>
      <c r="D1950" s="396" t="s">
        <v>116</v>
      </c>
      <c r="E1950" s="369">
        <v>1500</v>
      </c>
      <c r="F1950" s="317">
        <f t="shared" si="22"/>
        <v>2.6740732553454722</v>
      </c>
      <c r="G1950" s="318">
        <v>560.94200000000001</v>
      </c>
      <c r="H1950" s="256" t="s">
        <v>196</v>
      </c>
      <c r="I1950" s="179" t="s">
        <v>2716</v>
      </c>
      <c r="J1950" s="179" t="s">
        <v>97</v>
      </c>
      <c r="K1950" s="127" t="s">
        <v>1903</v>
      </c>
      <c r="L1950" s="179" t="s">
        <v>154</v>
      </c>
      <c r="M1950" s="333"/>
      <c r="N1950" s="333"/>
    </row>
    <row r="1951" spans="1:14" ht="15.6" hidden="1">
      <c r="A1951" s="375">
        <v>45897</v>
      </c>
      <c r="B1951" s="179" t="s">
        <v>2686</v>
      </c>
      <c r="C1951" s="396" t="s">
        <v>195</v>
      </c>
      <c r="D1951" s="396" t="s">
        <v>116</v>
      </c>
      <c r="E1951" s="369">
        <v>500</v>
      </c>
      <c r="F1951" s="317">
        <f t="shared" si="22"/>
        <v>0.89135775178182408</v>
      </c>
      <c r="G1951" s="318">
        <v>560.94200000000001</v>
      </c>
      <c r="H1951" s="256" t="s">
        <v>196</v>
      </c>
      <c r="I1951" s="179" t="s">
        <v>2707</v>
      </c>
      <c r="J1951" s="179" t="s">
        <v>97</v>
      </c>
      <c r="K1951" s="127" t="s">
        <v>1903</v>
      </c>
      <c r="L1951" s="179" t="s">
        <v>154</v>
      </c>
      <c r="M1951" s="333"/>
      <c r="N1951" s="333"/>
    </row>
    <row r="1952" spans="1:14" ht="15.6" hidden="1">
      <c r="A1952" s="376">
        <v>45897</v>
      </c>
      <c r="B1952" s="179" t="s">
        <v>2736</v>
      </c>
      <c r="C1952" s="179" t="s">
        <v>173</v>
      </c>
      <c r="D1952" s="179" t="s">
        <v>119</v>
      </c>
      <c r="E1952" s="369">
        <v>500</v>
      </c>
      <c r="F1952" s="317">
        <f t="shared" si="22"/>
        <v>0.89135775178182408</v>
      </c>
      <c r="G1952" s="318">
        <v>560.94200000000001</v>
      </c>
      <c r="H1952" s="179" t="s">
        <v>212</v>
      </c>
      <c r="I1952" s="179" t="s">
        <v>2739</v>
      </c>
      <c r="J1952" s="179" t="s">
        <v>97</v>
      </c>
      <c r="K1952" s="127" t="s">
        <v>1903</v>
      </c>
      <c r="L1952" s="179" t="s">
        <v>154</v>
      </c>
      <c r="M1952" s="333"/>
      <c r="N1952" s="333"/>
    </row>
    <row r="1953" spans="1:14" ht="15.6" hidden="1">
      <c r="A1953" s="376">
        <v>45897</v>
      </c>
      <c r="B1953" s="179" t="s">
        <v>2726</v>
      </c>
      <c r="C1953" s="179" t="s">
        <v>173</v>
      </c>
      <c r="D1953" s="179" t="s">
        <v>119</v>
      </c>
      <c r="E1953" s="369">
        <v>500</v>
      </c>
      <c r="F1953" s="317">
        <f t="shared" si="22"/>
        <v>0.89135775178182408</v>
      </c>
      <c r="G1953" s="318">
        <v>560.94200000000001</v>
      </c>
      <c r="H1953" s="179" t="s">
        <v>212</v>
      </c>
      <c r="I1953" s="179" t="s">
        <v>2739</v>
      </c>
      <c r="J1953" s="179" t="s">
        <v>97</v>
      </c>
      <c r="K1953" s="127" t="s">
        <v>1903</v>
      </c>
      <c r="L1953" s="179" t="s">
        <v>154</v>
      </c>
      <c r="M1953" s="333"/>
      <c r="N1953" s="333"/>
    </row>
    <row r="1954" spans="1:14" ht="15.6" hidden="1">
      <c r="A1954" s="372">
        <v>45898</v>
      </c>
      <c r="B1954" s="396" t="s">
        <v>2104</v>
      </c>
      <c r="C1954" s="303" t="s">
        <v>173</v>
      </c>
      <c r="D1954" s="303" t="s">
        <v>118</v>
      </c>
      <c r="E1954" s="396">
        <v>1000</v>
      </c>
      <c r="F1954" s="317">
        <f t="shared" si="22"/>
        <v>1.7827155035636482</v>
      </c>
      <c r="G1954" s="318">
        <v>560.94200000000001</v>
      </c>
      <c r="H1954" s="403" t="s">
        <v>152</v>
      </c>
      <c r="I1954" s="404" t="s">
        <v>2425</v>
      </c>
      <c r="J1954" s="179" t="s">
        <v>97</v>
      </c>
      <c r="K1954" s="127" t="s">
        <v>1903</v>
      </c>
      <c r="L1954" s="179" t="s">
        <v>154</v>
      </c>
      <c r="M1954" s="390"/>
      <c r="N1954" s="390"/>
    </row>
    <row r="1955" spans="1:14" ht="15.6" hidden="1">
      <c r="A1955" s="372">
        <v>45898</v>
      </c>
      <c r="B1955" s="396" t="s">
        <v>2110</v>
      </c>
      <c r="C1955" s="303" t="s">
        <v>173</v>
      </c>
      <c r="D1955" s="303" t="s">
        <v>118</v>
      </c>
      <c r="E1955" s="396">
        <v>1000</v>
      </c>
      <c r="F1955" s="317">
        <f t="shared" si="22"/>
        <v>1.7827155035636482</v>
      </c>
      <c r="G1955" s="318">
        <v>560.94200000000001</v>
      </c>
      <c r="H1955" s="403" t="s">
        <v>152</v>
      </c>
      <c r="I1955" s="404" t="s">
        <v>2425</v>
      </c>
      <c r="J1955" s="179" t="s">
        <v>97</v>
      </c>
      <c r="K1955" s="127" t="s">
        <v>1903</v>
      </c>
      <c r="L1955" s="179" t="s">
        <v>154</v>
      </c>
      <c r="M1955" s="390"/>
      <c r="N1955" s="390"/>
    </row>
    <row r="1956" spans="1:14" ht="15.6" hidden="1">
      <c r="A1956" s="373">
        <v>45898</v>
      </c>
      <c r="B1956" s="396" t="s">
        <v>2101</v>
      </c>
      <c r="C1956" s="303" t="s">
        <v>173</v>
      </c>
      <c r="D1956" s="303" t="s">
        <v>118</v>
      </c>
      <c r="E1956" s="396">
        <v>1000</v>
      </c>
      <c r="F1956" s="317">
        <f t="shared" si="22"/>
        <v>1.7827155035636482</v>
      </c>
      <c r="G1956" s="318">
        <v>560.94200000000001</v>
      </c>
      <c r="H1956" s="403" t="s">
        <v>152</v>
      </c>
      <c r="I1956" s="404" t="s">
        <v>2425</v>
      </c>
      <c r="J1956" s="179" t="s">
        <v>97</v>
      </c>
      <c r="K1956" s="127" t="s">
        <v>1903</v>
      </c>
      <c r="L1956" s="179" t="s">
        <v>154</v>
      </c>
      <c r="M1956" s="390"/>
      <c r="N1956" s="390"/>
    </row>
    <row r="1957" spans="1:14" ht="15.6" hidden="1">
      <c r="A1957" s="374">
        <v>45898</v>
      </c>
      <c r="B1957" s="395" t="s">
        <v>2420</v>
      </c>
      <c r="C1957" s="395" t="s">
        <v>173</v>
      </c>
      <c r="D1957" s="395" t="s">
        <v>116</v>
      </c>
      <c r="E1957" s="405">
        <v>500</v>
      </c>
      <c r="F1957" s="317">
        <f t="shared" si="22"/>
        <v>0.89135775178182408</v>
      </c>
      <c r="G1957" s="318">
        <v>560.94200000000001</v>
      </c>
      <c r="H1957" s="174" t="s">
        <v>199</v>
      </c>
      <c r="I1957" s="395" t="s">
        <v>2423</v>
      </c>
      <c r="J1957" s="179" t="s">
        <v>97</v>
      </c>
      <c r="K1957" s="127" t="s">
        <v>1903</v>
      </c>
      <c r="L1957" s="179" t="s">
        <v>154</v>
      </c>
      <c r="M1957" s="390"/>
      <c r="N1957" s="390"/>
    </row>
    <row r="1958" spans="1:14" ht="15.6" hidden="1">
      <c r="A1958" s="377">
        <v>45898</v>
      </c>
      <c r="B1958" s="395" t="s">
        <v>2421</v>
      </c>
      <c r="C1958" s="395" t="s">
        <v>173</v>
      </c>
      <c r="D1958" s="395" t="s">
        <v>116</v>
      </c>
      <c r="E1958" s="405">
        <v>500</v>
      </c>
      <c r="F1958" s="317">
        <f t="shared" si="22"/>
        <v>0.89135775178182408</v>
      </c>
      <c r="G1958" s="318">
        <v>560.94200000000001</v>
      </c>
      <c r="H1958" s="174" t="s">
        <v>199</v>
      </c>
      <c r="I1958" s="395" t="s">
        <v>2423</v>
      </c>
      <c r="J1958" s="179" t="s">
        <v>97</v>
      </c>
      <c r="K1958" s="127" t="s">
        <v>1903</v>
      </c>
      <c r="L1958" s="179" t="s">
        <v>154</v>
      </c>
      <c r="M1958" s="390"/>
      <c r="N1958" s="390"/>
    </row>
    <row r="1959" spans="1:14" ht="15.6" hidden="1">
      <c r="A1959" s="378">
        <v>45898</v>
      </c>
      <c r="B1959" s="179" t="s">
        <v>2462</v>
      </c>
      <c r="C1959" s="179" t="s">
        <v>173</v>
      </c>
      <c r="D1959" s="179" t="s">
        <v>117</v>
      </c>
      <c r="E1959" s="332">
        <v>1000</v>
      </c>
      <c r="F1959" s="317">
        <f t="shared" si="22"/>
        <v>1.7827155035636482</v>
      </c>
      <c r="G1959" s="318">
        <v>560.94200000000001</v>
      </c>
      <c r="H1959" s="179" t="s">
        <v>583</v>
      </c>
      <c r="I1959" s="179" t="s">
        <v>2464</v>
      </c>
      <c r="J1959" s="179" t="s">
        <v>97</v>
      </c>
      <c r="K1959" s="127" t="s">
        <v>1903</v>
      </c>
      <c r="L1959" s="179" t="s">
        <v>154</v>
      </c>
      <c r="M1959" s="390"/>
      <c r="N1959" s="390"/>
    </row>
    <row r="1960" spans="1:14" ht="15.6" hidden="1">
      <c r="A1960" s="378">
        <v>45898</v>
      </c>
      <c r="B1960" s="179" t="s">
        <v>2463</v>
      </c>
      <c r="C1960" s="179" t="s">
        <v>173</v>
      </c>
      <c r="D1960" s="179" t="s">
        <v>117</v>
      </c>
      <c r="E1960" s="332">
        <v>1000</v>
      </c>
      <c r="F1960" s="317">
        <f t="shared" si="22"/>
        <v>1.7827155035636482</v>
      </c>
      <c r="G1960" s="318">
        <v>560.94200000000001</v>
      </c>
      <c r="H1960" s="179" t="s">
        <v>583</v>
      </c>
      <c r="I1960" s="179" t="s">
        <v>2464</v>
      </c>
      <c r="J1960" s="179" t="s">
        <v>97</v>
      </c>
      <c r="K1960" s="127" t="s">
        <v>1903</v>
      </c>
      <c r="L1960" s="179" t="s">
        <v>154</v>
      </c>
      <c r="M1960" s="390"/>
      <c r="N1960" s="390"/>
    </row>
    <row r="1961" spans="1:14" ht="15.6" hidden="1">
      <c r="A1961" s="381">
        <v>45898</v>
      </c>
      <c r="B1961" s="179" t="s">
        <v>2377</v>
      </c>
      <c r="C1961" s="179" t="s">
        <v>125</v>
      </c>
      <c r="D1961" s="179" t="s">
        <v>117</v>
      </c>
      <c r="E1961" s="332">
        <v>6000</v>
      </c>
      <c r="F1961" s="317">
        <f t="shared" si="22"/>
        <v>10.696293021381889</v>
      </c>
      <c r="G1961" s="318">
        <v>560.94200000000001</v>
      </c>
      <c r="H1961" s="399" t="s">
        <v>583</v>
      </c>
      <c r="I1961" s="179" t="s">
        <v>2378</v>
      </c>
      <c r="J1961" s="179" t="s">
        <v>97</v>
      </c>
      <c r="K1961" s="127" t="s">
        <v>1903</v>
      </c>
      <c r="L1961" s="179" t="s">
        <v>154</v>
      </c>
      <c r="M1961" s="390"/>
      <c r="N1961" s="390"/>
    </row>
    <row r="1962" spans="1:14" ht="15.6" hidden="1">
      <c r="A1962" s="384">
        <v>45898</v>
      </c>
      <c r="B1962" s="179" t="s">
        <v>2379</v>
      </c>
      <c r="C1962" s="179" t="s">
        <v>626</v>
      </c>
      <c r="D1962" s="179" t="s">
        <v>117</v>
      </c>
      <c r="E1962" s="332">
        <v>45050</v>
      </c>
      <c r="F1962" s="317">
        <f t="shared" si="22"/>
        <v>80.311333435542352</v>
      </c>
      <c r="G1962" s="318">
        <v>560.94200000000001</v>
      </c>
      <c r="H1962" s="179" t="s">
        <v>583</v>
      </c>
      <c r="I1962" s="179" t="s">
        <v>2380</v>
      </c>
      <c r="J1962" s="179" t="s">
        <v>97</v>
      </c>
      <c r="K1962" s="127" t="s">
        <v>1903</v>
      </c>
      <c r="L1962" s="179" t="s">
        <v>154</v>
      </c>
      <c r="M1962" s="390"/>
      <c r="N1962" s="390"/>
    </row>
    <row r="1963" spans="1:14" ht="15.6" hidden="1">
      <c r="A1963" s="241">
        <v>45898</v>
      </c>
      <c r="B1963" s="174" t="s">
        <v>3812</v>
      </c>
      <c r="C1963" s="174" t="s">
        <v>173</v>
      </c>
      <c r="D1963" s="179" t="s">
        <v>442</v>
      </c>
      <c r="E1963" s="174">
        <v>500</v>
      </c>
      <c r="F1963" s="317">
        <f t="shared" si="22"/>
        <v>0.89135775178182408</v>
      </c>
      <c r="G1963" s="318">
        <v>560.94200000000001</v>
      </c>
      <c r="H1963" s="174" t="s">
        <v>183</v>
      </c>
      <c r="I1963" s="174" t="s">
        <v>2473</v>
      </c>
      <c r="J1963" s="179" t="s">
        <v>97</v>
      </c>
      <c r="K1963" s="127" t="s">
        <v>1903</v>
      </c>
      <c r="L1963" s="179" t="s">
        <v>154</v>
      </c>
      <c r="M1963" s="333"/>
      <c r="N1963" s="333"/>
    </row>
    <row r="1964" spans="1:14" ht="15.6" hidden="1">
      <c r="A1964" s="241">
        <v>45898</v>
      </c>
      <c r="B1964" s="174" t="s">
        <v>3788</v>
      </c>
      <c r="C1964" s="174" t="s">
        <v>173</v>
      </c>
      <c r="D1964" s="179" t="s">
        <v>442</v>
      </c>
      <c r="E1964" s="174">
        <v>500</v>
      </c>
      <c r="F1964" s="317">
        <f t="shared" ref="F1964:F2021" si="23">E1964/G1964</f>
        <v>0.89135775178182408</v>
      </c>
      <c r="G1964" s="318">
        <v>560.94200000000001</v>
      </c>
      <c r="H1964" s="174" t="s">
        <v>183</v>
      </c>
      <c r="I1964" s="174" t="s">
        <v>2473</v>
      </c>
      <c r="J1964" s="179" t="s">
        <v>97</v>
      </c>
      <c r="K1964" s="127" t="s">
        <v>1903</v>
      </c>
      <c r="L1964" s="179" t="s">
        <v>154</v>
      </c>
      <c r="M1964" s="333"/>
      <c r="N1964" s="333"/>
    </row>
    <row r="1965" spans="1:14" ht="15.6" hidden="1">
      <c r="A1965" s="376">
        <v>45898</v>
      </c>
      <c r="B1965" s="179" t="s">
        <v>2602</v>
      </c>
      <c r="C1965" s="179" t="s">
        <v>173</v>
      </c>
      <c r="D1965" s="179" t="s">
        <v>116</v>
      </c>
      <c r="E1965" s="332">
        <v>500</v>
      </c>
      <c r="F1965" s="317">
        <f t="shared" si="23"/>
        <v>0.89135775178182408</v>
      </c>
      <c r="G1965" s="318">
        <v>560.94200000000001</v>
      </c>
      <c r="H1965" s="179" t="s">
        <v>189</v>
      </c>
      <c r="I1965" s="179" t="s">
        <v>2604</v>
      </c>
      <c r="J1965" s="179" t="s">
        <v>97</v>
      </c>
      <c r="K1965" s="127" t="s">
        <v>1903</v>
      </c>
      <c r="L1965" s="179" t="s">
        <v>154</v>
      </c>
      <c r="M1965" s="333"/>
      <c r="N1965" s="333"/>
    </row>
    <row r="1966" spans="1:14" ht="15.6" hidden="1">
      <c r="A1966" s="376">
        <v>45898</v>
      </c>
      <c r="B1966" s="179" t="s">
        <v>2603</v>
      </c>
      <c r="C1966" s="179" t="s">
        <v>173</v>
      </c>
      <c r="D1966" s="179" t="s">
        <v>116</v>
      </c>
      <c r="E1966" s="332">
        <v>500</v>
      </c>
      <c r="F1966" s="317">
        <f t="shared" si="23"/>
        <v>0.89135775178182408</v>
      </c>
      <c r="G1966" s="318">
        <v>560.94200000000001</v>
      </c>
      <c r="H1966" s="179" t="s">
        <v>189</v>
      </c>
      <c r="I1966" s="179" t="s">
        <v>2604</v>
      </c>
      <c r="J1966" s="179" t="s">
        <v>97</v>
      </c>
      <c r="K1966" s="127" t="s">
        <v>1903</v>
      </c>
      <c r="L1966" s="179" t="s">
        <v>154</v>
      </c>
      <c r="M1966" s="333"/>
      <c r="N1966" s="333"/>
    </row>
    <row r="1967" spans="1:14" ht="15.6" hidden="1">
      <c r="A1967" s="381">
        <v>45898</v>
      </c>
      <c r="B1967" s="179" t="s">
        <v>2363</v>
      </c>
      <c r="C1967" s="179" t="s">
        <v>181</v>
      </c>
      <c r="D1967" s="179" t="s">
        <v>117</v>
      </c>
      <c r="E1967" s="332">
        <v>8250</v>
      </c>
      <c r="F1967" s="317">
        <f t="shared" si="23"/>
        <v>14.707402904400098</v>
      </c>
      <c r="G1967" s="318">
        <v>560.94200000000001</v>
      </c>
      <c r="H1967" s="179" t="s">
        <v>189</v>
      </c>
      <c r="I1967" s="179" t="s">
        <v>2382</v>
      </c>
      <c r="J1967" s="179" t="s">
        <v>97</v>
      </c>
      <c r="K1967" s="127" t="s">
        <v>1903</v>
      </c>
      <c r="L1967" s="179" t="s">
        <v>154</v>
      </c>
      <c r="M1967" s="333"/>
      <c r="N1967" s="333"/>
    </row>
    <row r="1968" spans="1:14" ht="15.6" hidden="1">
      <c r="A1968" s="379">
        <v>45898</v>
      </c>
      <c r="B1968" s="179" t="s">
        <v>2641</v>
      </c>
      <c r="C1968" s="179" t="s">
        <v>176</v>
      </c>
      <c r="D1968" s="179" t="s">
        <v>116</v>
      </c>
      <c r="E1968" s="332">
        <v>15000</v>
      </c>
      <c r="F1968" s="317">
        <f t="shared" si="23"/>
        <v>26.740732553454723</v>
      </c>
      <c r="G1968" s="318">
        <v>560.94200000000001</v>
      </c>
      <c r="H1968" s="179" t="s">
        <v>192</v>
      </c>
      <c r="I1968" s="179" t="s">
        <v>2658</v>
      </c>
      <c r="J1968" s="179" t="s">
        <v>97</v>
      </c>
      <c r="K1968" s="127" t="s">
        <v>1903</v>
      </c>
      <c r="L1968" s="179" t="s">
        <v>154</v>
      </c>
      <c r="M1968" s="333"/>
      <c r="N1968" s="333"/>
    </row>
    <row r="1969" spans="1:14" ht="15.6" hidden="1">
      <c r="A1969" s="379">
        <v>45898</v>
      </c>
      <c r="B1969" s="179" t="s">
        <v>2642</v>
      </c>
      <c r="C1969" s="179" t="s">
        <v>173</v>
      </c>
      <c r="D1969" s="179" t="s">
        <v>116</v>
      </c>
      <c r="E1969" s="332">
        <v>500</v>
      </c>
      <c r="F1969" s="317">
        <f t="shared" si="23"/>
        <v>0.89135775178182408</v>
      </c>
      <c r="G1969" s="318">
        <v>560.94200000000001</v>
      </c>
      <c r="H1969" s="179" t="s">
        <v>192</v>
      </c>
      <c r="I1969" s="179" t="s">
        <v>2647</v>
      </c>
      <c r="J1969" s="179" t="s">
        <v>97</v>
      </c>
      <c r="K1969" s="127" t="s">
        <v>1903</v>
      </c>
      <c r="L1969" s="179" t="s">
        <v>154</v>
      </c>
      <c r="M1969" s="333"/>
      <c r="N1969" s="333"/>
    </row>
    <row r="1970" spans="1:14" ht="15.6" hidden="1">
      <c r="A1970" s="379">
        <v>45898</v>
      </c>
      <c r="B1970" s="179" t="s">
        <v>2643</v>
      </c>
      <c r="C1970" s="179" t="s">
        <v>173</v>
      </c>
      <c r="D1970" s="179" t="s">
        <v>116</v>
      </c>
      <c r="E1970" s="332">
        <v>500</v>
      </c>
      <c r="F1970" s="317">
        <f t="shared" si="23"/>
        <v>0.89135775178182408</v>
      </c>
      <c r="G1970" s="318">
        <v>560.94200000000001</v>
      </c>
      <c r="H1970" s="179" t="s">
        <v>192</v>
      </c>
      <c r="I1970" s="179" t="s">
        <v>2647</v>
      </c>
      <c r="J1970" s="179" t="s">
        <v>97</v>
      </c>
      <c r="K1970" s="127" t="s">
        <v>1903</v>
      </c>
      <c r="L1970" s="179" t="s">
        <v>154</v>
      </c>
      <c r="M1970" s="333"/>
      <c r="N1970" s="333"/>
    </row>
    <row r="1971" spans="1:14" ht="15.6" hidden="1">
      <c r="A1971" s="375">
        <v>45898</v>
      </c>
      <c r="B1971" s="179" t="s">
        <v>2701</v>
      </c>
      <c r="C1971" s="396" t="s">
        <v>195</v>
      </c>
      <c r="D1971" s="396" t="s">
        <v>116</v>
      </c>
      <c r="E1971" s="369">
        <v>500</v>
      </c>
      <c r="F1971" s="317">
        <f t="shared" si="23"/>
        <v>0.89135775178182408</v>
      </c>
      <c r="G1971" s="318">
        <v>560.94200000000001</v>
      </c>
      <c r="H1971" s="256" t="s">
        <v>196</v>
      </c>
      <c r="I1971" s="179" t="s">
        <v>2707</v>
      </c>
      <c r="J1971" s="179" t="s">
        <v>97</v>
      </c>
      <c r="K1971" s="127" t="s">
        <v>1903</v>
      </c>
      <c r="L1971" s="179" t="s">
        <v>154</v>
      </c>
      <c r="M1971" s="333"/>
      <c r="N1971" s="333"/>
    </row>
    <row r="1972" spans="1:14" ht="15.6" hidden="1">
      <c r="A1972" s="375">
        <v>45898</v>
      </c>
      <c r="B1972" s="179" t="s">
        <v>2688</v>
      </c>
      <c r="C1972" s="179" t="s">
        <v>312</v>
      </c>
      <c r="D1972" s="396" t="s">
        <v>116</v>
      </c>
      <c r="E1972" s="369">
        <v>1500</v>
      </c>
      <c r="F1972" s="317">
        <f t="shared" si="23"/>
        <v>2.6740732553454722</v>
      </c>
      <c r="G1972" s="318">
        <v>560.94200000000001</v>
      </c>
      <c r="H1972" s="256" t="s">
        <v>196</v>
      </c>
      <c r="I1972" s="179" t="s">
        <v>2716</v>
      </c>
      <c r="J1972" s="179" t="s">
        <v>97</v>
      </c>
      <c r="K1972" s="127" t="s">
        <v>1903</v>
      </c>
      <c r="L1972" s="179" t="s">
        <v>154</v>
      </c>
      <c r="M1972" s="333"/>
      <c r="N1972" s="333"/>
    </row>
    <row r="1973" spans="1:14" ht="15.6" hidden="1">
      <c r="A1973" s="375">
        <v>45898</v>
      </c>
      <c r="B1973" s="179" t="s">
        <v>2686</v>
      </c>
      <c r="C1973" s="411" t="s">
        <v>195</v>
      </c>
      <c r="D1973" s="396" t="s">
        <v>116</v>
      </c>
      <c r="E1973" s="369">
        <v>500</v>
      </c>
      <c r="F1973" s="317">
        <f t="shared" si="23"/>
        <v>0.89135775178182408</v>
      </c>
      <c r="G1973" s="318">
        <v>560.94200000000001</v>
      </c>
      <c r="H1973" s="256" t="s">
        <v>196</v>
      </c>
      <c r="I1973" s="179" t="s">
        <v>2707</v>
      </c>
      <c r="J1973" s="179" t="s">
        <v>97</v>
      </c>
      <c r="K1973" s="127" t="s">
        <v>1903</v>
      </c>
      <c r="L1973" s="179" t="s">
        <v>154</v>
      </c>
      <c r="M1973" s="333"/>
      <c r="N1973" s="333"/>
    </row>
    <row r="1974" spans="1:14" ht="15.6" hidden="1">
      <c r="A1974" s="375">
        <v>45898</v>
      </c>
      <c r="B1974" s="179" t="s">
        <v>2702</v>
      </c>
      <c r="C1974" s="411" t="s">
        <v>195</v>
      </c>
      <c r="D1974" s="396" t="s">
        <v>116</v>
      </c>
      <c r="E1974" s="369">
        <v>500</v>
      </c>
      <c r="F1974" s="317">
        <f t="shared" si="23"/>
        <v>0.89135775178182408</v>
      </c>
      <c r="G1974" s="318">
        <v>560.94200000000001</v>
      </c>
      <c r="H1974" s="256" t="s">
        <v>196</v>
      </c>
      <c r="I1974" s="179" t="s">
        <v>2707</v>
      </c>
      <c r="J1974" s="179" t="s">
        <v>97</v>
      </c>
      <c r="K1974" s="127" t="s">
        <v>1903</v>
      </c>
      <c r="L1974" s="179" t="s">
        <v>154</v>
      </c>
      <c r="M1974" s="333"/>
      <c r="N1974" s="333"/>
    </row>
    <row r="1975" spans="1:14" ht="15.6" hidden="1">
      <c r="A1975" s="375">
        <v>45898</v>
      </c>
      <c r="B1975" s="179" t="s">
        <v>1093</v>
      </c>
      <c r="C1975" s="398" t="s">
        <v>2703</v>
      </c>
      <c r="D1975" s="174" t="s">
        <v>2088</v>
      </c>
      <c r="E1975" s="369">
        <v>25200</v>
      </c>
      <c r="F1975" s="317">
        <f t="shared" si="23"/>
        <v>44.924430689803934</v>
      </c>
      <c r="G1975" s="318">
        <v>560.94200000000001</v>
      </c>
      <c r="H1975" s="256" t="s">
        <v>196</v>
      </c>
      <c r="I1975" s="179" t="s">
        <v>2717</v>
      </c>
      <c r="J1975" s="179" t="s">
        <v>97</v>
      </c>
      <c r="K1975" s="127" t="s">
        <v>1903</v>
      </c>
      <c r="L1975" s="179" t="s">
        <v>154</v>
      </c>
      <c r="M1975" s="333"/>
      <c r="N1975" s="333"/>
    </row>
    <row r="1976" spans="1:14" ht="15.6" hidden="1">
      <c r="A1976" s="375">
        <v>45898</v>
      </c>
      <c r="B1976" s="179" t="s">
        <v>2704</v>
      </c>
      <c r="C1976" s="411" t="s">
        <v>195</v>
      </c>
      <c r="D1976" s="396" t="s">
        <v>116</v>
      </c>
      <c r="E1976" s="412">
        <v>500</v>
      </c>
      <c r="F1976" s="317">
        <f t="shared" si="23"/>
        <v>0.89135775178182408</v>
      </c>
      <c r="G1976" s="318">
        <v>560.94200000000001</v>
      </c>
      <c r="H1976" s="256" t="s">
        <v>196</v>
      </c>
      <c r="I1976" s="179" t="s">
        <v>2707</v>
      </c>
      <c r="J1976" s="179" t="s">
        <v>97</v>
      </c>
      <c r="K1976" s="127" t="s">
        <v>1903</v>
      </c>
      <c r="L1976" s="179" t="s">
        <v>154</v>
      </c>
      <c r="M1976" s="333"/>
      <c r="N1976" s="333"/>
    </row>
    <row r="1977" spans="1:14" ht="15.6" hidden="1">
      <c r="A1977" s="382">
        <v>45898</v>
      </c>
      <c r="B1977" s="179" t="s">
        <v>2705</v>
      </c>
      <c r="C1977" s="396" t="s">
        <v>195</v>
      </c>
      <c r="D1977" s="396" t="s">
        <v>116</v>
      </c>
      <c r="E1977" s="369">
        <v>500</v>
      </c>
      <c r="F1977" s="317">
        <f t="shared" si="23"/>
        <v>0.89135775178182408</v>
      </c>
      <c r="G1977" s="318">
        <v>560.94200000000001</v>
      </c>
      <c r="H1977" s="256" t="s">
        <v>196</v>
      </c>
      <c r="I1977" s="179" t="s">
        <v>2707</v>
      </c>
      <c r="J1977" s="179" t="s">
        <v>97</v>
      </c>
      <c r="K1977" s="127" t="s">
        <v>1903</v>
      </c>
      <c r="L1977" s="179" t="s">
        <v>154</v>
      </c>
      <c r="M1977" s="333"/>
      <c r="N1977" s="333"/>
    </row>
    <row r="1978" spans="1:14" ht="15.6" hidden="1">
      <c r="A1978" s="376">
        <v>45898</v>
      </c>
      <c r="B1978" s="179" t="s">
        <v>2737</v>
      </c>
      <c r="C1978" s="398" t="s">
        <v>173</v>
      </c>
      <c r="D1978" s="179" t="s">
        <v>119</v>
      </c>
      <c r="E1978" s="369">
        <v>500</v>
      </c>
      <c r="F1978" s="317">
        <f t="shared" si="23"/>
        <v>0.89135775178182408</v>
      </c>
      <c r="G1978" s="318">
        <v>560.94200000000001</v>
      </c>
      <c r="H1978" s="179" t="s">
        <v>212</v>
      </c>
      <c r="I1978" s="179" t="s">
        <v>2739</v>
      </c>
      <c r="J1978" s="179" t="s">
        <v>97</v>
      </c>
      <c r="K1978" s="127" t="s">
        <v>1903</v>
      </c>
      <c r="L1978" s="179" t="s">
        <v>154</v>
      </c>
      <c r="M1978" s="333"/>
      <c r="N1978" s="333"/>
    </row>
    <row r="1979" spans="1:14" ht="15.6" hidden="1">
      <c r="A1979" s="381">
        <v>45898</v>
      </c>
      <c r="B1979" s="179" t="s">
        <v>2837</v>
      </c>
      <c r="C1979" s="179" t="s">
        <v>2089</v>
      </c>
      <c r="D1979" s="179" t="s">
        <v>119</v>
      </c>
      <c r="E1979" s="332">
        <v>50000</v>
      </c>
      <c r="F1979" s="317">
        <f t="shared" si="23"/>
        <v>89.135775178182413</v>
      </c>
      <c r="G1979" s="318">
        <v>560.94200000000001</v>
      </c>
      <c r="H1979" s="179" t="s">
        <v>212</v>
      </c>
      <c r="I1979" s="179" t="s">
        <v>2381</v>
      </c>
      <c r="J1979" s="179" t="s">
        <v>97</v>
      </c>
      <c r="K1979" s="127" t="s">
        <v>1903</v>
      </c>
      <c r="L1979" s="179" t="s">
        <v>154</v>
      </c>
      <c r="M1979" s="333"/>
      <c r="N1979" s="333"/>
    </row>
    <row r="1980" spans="1:14" ht="15.6" hidden="1">
      <c r="A1980" s="379">
        <v>45898</v>
      </c>
      <c r="B1980" s="179" t="s">
        <v>2836</v>
      </c>
      <c r="C1980" s="179" t="s">
        <v>2089</v>
      </c>
      <c r="D1980" s="179" t="s">
        <v>119</v>
      </c>
      <c r="E1980" s="332">
        <v>50000</v>
      </c>
      <c r="F1980" s="317">
        <f t="shared" si="23"/>
        <v>89.135775178182413</v>
      </c>
      <c r="G1980" s="318">
        <v>560.94200000000001</v>
      </c>
      <c r="H1980" s="179" t="s">
        <v>212</v>
      </c>
      <c r="I1980" s="179" t="s">
        <v>2381</v>
      </c>
      <c r="J1980" s="179" t="s">
        <v>97</v>
      </c>
      <c r="K1980" s="127" t="s">
        <v>1903</v>
      </c>
      <c r="L1980" s="179" t="s">
        <v>154</v>
      </c>
      <c r="M1980" s="333"/>
      <c r="N1980" s="333"/>
    </row>
    <row r="1981" spans="1:14" ht="15.6" hidden="1">
      <c r="A1981" s="381">
        <v>45898</v>
      </c>
      <c r="B1981" s="179" t="s">
        <v>2835</v>
      </c>
      <c r="C1981" s="179" t="s">
        <v>2089</v>
      </c>
      <c r="D1981" s="179" t="s">
        <v>119</v>
      </c>
      <c r="E1981" s="332">
        <v>50000</v>
      </c>
      <c r="F1981" s="317">
        <f t="shared" si="23"/>
        <v>89.135775178182413</v>
      </c>
      <c r="G1981" s="318">
        <v>560.94200000000001</v>
      </c>
      <c r="H1981" s="179" t="s">
        <v>212</v>
      </c>
      <c r="I1981" s="179" t="s">
        <v>2381</v>
      </c>
      <c r="J1981" s="179" t="s">
        <v>97</v>
      </c>
      <c r="K1981" s="127" t="s">
        <v>1903</v>
      </c>
      <c r="L1981" s="179" t="s">
        <v>154</v>
      </c>
      <c r="M1981" s="333"/>
      <c r="N1981" s="333"/>
    </row>
    <row r="1982" spans="1:14" ht="15.6" hidden="1">
      <c r="A1982" s="379">
        <v>45898</v>
      </c>
      <c r="B1982" s="179" t="s">
        <v>2834</v>
      </c>
      <c r="C1982" s="179" t="s">
        <v>2089</v>
      </c>
      <c r="D1982" s="179" t="s">
        <v>119</v>
      </c>
      <c r="E1982" s="332">
        <v>50000</v>
      </c>
      <c r="F1982" s="317">
        <f t="shared" si="23"/>
        <v>89.135775178182413</v>
      </c>
      <c r="G1982" s="318">
        <v>560.94200000000001</v>
      </c>
      <c r="H1982" s="179" t="s">
        <v>212</v>
      </c>
      <c r="I1982" s="179" t="s">
        <v>2381</v>
      </c>
      <c r="J1982" s="179" t="s">
        <v>97</v>
      </c>
      <c r="K1982" s="127" t="s">
        <v>1903</v>
      </c>
      <c r="L1982" s="179" t="s">
        <v>154</v>
      </c>
      <c r="M1982" s="333"/>
      <c r="N1982" s="333"/>
    </row>
    <row r="1983" spans="1:14" ht="15.6" hidden="1">
      <c r="A1983" s="380">
        <v>45898</v>
      </c>
      <c r="B1983" s="179" t="s">
        <v>2738</v>
      </c>
      <c r="C1983" s="179" t="s">
        <v>173</v>
      </c>
      <c r="D1983" s="179" t="s">
        <v>119</v>
      </c>
      <c r="E1983" s="369">
        <v>500</v>
      </c>
      <c r="F1983" s="317">
        <f t="shared" si="23"/>
        <v>0.89135775178182408</v>
      </c>
      <c r="G1983" s="318">
        <v>560.94200000000001</v>
      </c>
      <c r="H1983" s="179" t="s">
        <v>212</v>
      </c>
      <c r="I1983" s="179" t="s">
        <v>2739</v>
      </c>
      <c r="J1983" s="179" t="s">
        <v>97</v>
      </c>
      <c r="K1983" s="127" t="s">
        <v>1903</v>
      </c>
      <c r="L1983" s="179" t="s">
        <v>154</v>
      </c>
      <c r="M1983" s="333"/>
      <c r="N1983" s="333"/>
    </row>
    <row r="1984" spans="1:14" ht="15.6" hidden="1">
      <c r="A1984" s="385">
        <v>45898</v>
      </c>
      <c r="B1984" s="328" t="s">
        <v>2780</v>
      </c>
      <c r="C1984" s="179" t="s">
        <v>126</v>
      </c>
      <c r="D1984" s="179" t="s">
        <v>442</v>
      </c>
      <c r="E1984" s="332">
        <v>222097</v>
      </c>
      <c r="F1984" s="317">
        <f t="shared" si="23"/>
        <v>395.9357651949756</v>
      </c>
      <c r="G1984" s="318">
        <v>560.94200000000001</v>
      </c>
      <c r="H1984" s="179" t="s">
        <v>147</v>
      </c>
      <c r="I1984" s="179" t="s">
        <v>2797</v>
      </c>
      <c r="J1984" s="179" t="s">
        <v>97</v>
      </c>
      <c r="K1984" s="127" t="s">
        <v>1903</v>
      </c>
      <c r="L1984" s="179" t="s">
        <v>154</v>
      </c>
      <c r="M1984" s="333"/>
      <c r="N1984" s="333"/>
    </row>
    <row r="1985" spans="1:14" ht="15.6" hidden="1">
      <c r="A1985" s="385">
        <v>45898</v>
      </c>
      <c r="B1985" s="328" t="s">
        <v>2781</v>
      </c>
      <c r="C1985" s="336" t="s">
        <v>126</v>
      </c>
      <c r="D1985" s="179" t="s">
        <v>442</v>
      </c>
      <c r="E1985" s="332">
        <v>255000</v>
      </c>
      <c r="F1985" s="317">
        <f t="shared" si="23"/>
        <v>454.59245340873031</v>
      </c>
      <c r="G1985" s="318">
        <v>560.94200000000001</v>
      </c>
      <c r="H1985" s="179" t="s">
        <v>147</v>
      </c>
      <c r="I1985" s="179" t="s">
        <v>2798</v>
      </c>
      <c r="J1985" s="179" t="s">
        <v>97</v>
      </c>
      <c r="K1985" s="127" t="s">
        <v>1903</v>
      </c>
      <c r="L1985" s="179" t="s">
        <v>154</v>
      </c>
      <c r="M1985" s="333"/>
      <c r="N1985" s="333"/>
    </row>
    <row r="1986" spans="1:14" ht="15.6" hidden="1">
      <c r="A1986" s="379">
        <v>45899</v>
      </c>
      <c r="B1986" s="179" t="s">
        <v>2644</v>
      </c>
      <c r="C1986" s="179" t="s">
        <v>176</v>
      </c>
      <c r="D1986" s="179" t="s">
        <v>116</v>
      </c>
      <c r="E1986" s="332">
        <v>15000</v>
      </c>
      <c r="F1986" s="317">
        <f t="shared" si="23"/>
        <v>26.740732553454723</v>
      </c>
      <c r="G1986" s="318">
        <v>560.94200000000001</v>
      </c>
      <c r="H1986" s="179" t="s">
        <v>192</v>
      </c>
      <c r="I1986" s="179" t="s">
        <v>2659</v>
      </c>
      <c r="J1986" s="179" t="s">
        <v>97</v>
      </c>
      <c r="K1986" s="127" t="s">
        <v>1903</v>
      </c>
      <c r="L1986" s="179" t="s">
        <v>154</v>
      </c>
      <c r="M1986" s="333"/>
      <c r="N1986" s="333"/>
    </row>
    <row r="1987" spans="1:14" ht="15.6" hidden="1">
      <c r="A1987" s="379">
        <v>45899</v>
      </c>
      <c r="B1987" s="179" t="s">
        <v>2645</v>
      </c>
      <c r="C1987" s="179" t="s">
        <v>173</v>
      </c>
      <c r="D1987" s="179" t="s">
        <v>116</v>
      </c>
      <c r="E1987" s="332">
        <v>500</v>
      </c>
      <c r="F1987" s="317">
        <f t="shared" si="23"/>
        <v>0.89135775178182408</v>
      </c>
      <c r="G1987" s="318">
        <v>560.94200000000001</v>
      </c>
      <c r="H1987" s="179" t="s">
        <v>192</v>
      </c>
      <c r="I1987" s="179" t="s">
        <v>2647</v>
      </c>
      <c r="J1987" s="179" t="s">
        <v>97</v>
      </c>
      <c r="K1987" s="127" t="s">
        <v>1903</v>
      </c>
      <c r="L1987" s="179" t="s">
        <v>154</v>
      </c>
      <c r="M1987" s="333"/>
      <c r="N1987" s="333"/>
    </row>
    <row r="1988" spans="1:14" ht="15.6" hidden="1">
      <c r="A1988" s="380">
        <v>45899</v>
      </c>
      <c r="B1988" s="179" t="s">
        <v>2646</v>
      </c>
      <c r="C1988" s="398" t="s">
        <v>173</v>
      </c>
      <c r="D1988" s="398" t="s">
        <v>116</v>
      </c>
      <c r="E1988" s="332">
        <v>500</v>
      </c>
      <c r="F1988" s="317">
        <f t="shared" si="23"/>
        <v>0.89135775178182408</v>
      </c>
      <c r="G1988" s="318">
        <v>560.94200000000001</v>
      </c>
      <c r="H1988" s="179" t="s">
        <v>192</v>
      </c>
      <c r="I1988" s="179" t="s">
        <v>2647</v>
      </c>
      <c r="J1988" s="179" t="s">
        <v>97</v>
      </c>
      <c r="K1988" s="127" t="s">
        <v>1903</v>
      </c>
      <c r="L1988" s="179" t="s">
        <v>154</v>
      </c>
      <c r="M1988" s="333"/>
      <c r="N1988" s="333"/>
    </row>
    <row r="1989" spans="1:14" ht="15.6" hidden="1">
      <c r="A1989" s="241">
        <v>45900</v>
      </c>
      <c r="B1989" s="174" t="s">
        <v>3754</v>
      </c>
      <c r="C1989" s="389" t="s">
        <v>173</v>
      </c>
      <c r="D1989" s="179" t="s">
        <v>442</v>
      </c>
      <c r="E1989" s="174">
        <v>35000</v>
      </c>
      <c r="F1989" s="317">
        <f t="shared" si="23"/>
        <v>62.395042624727687</v>
      </c>
      <c r="G1989" s="318">
        <v>560.94200000000001</v>
      </c>
      <c r="H1989" s="174" t="s">
        <v>183</v>
      </c>
      <c r="I1989" s="174" t="s">
        <v>2486</v>
      </c>
      <c r="J1989" s="179" t="s">
        <v>97</v>
      </c>
      <c r="K1989" s="127" t="s">
        <v>1903</v>
      </c>
      <c r="L1989" s="179" t="s">
        <v>154</v>
      </c>
      <c r="M1989" s="333"/>
      <c r="N1989" s="333"/>
    </row>
    <row r="1990" spans="1:14" ht="15.6" hidden="1">
      <c r="A1990" s="241">
        <v>45900</v>
      </c>
      <c r="B1990" s="174" t="s">
        <v>3770</v>
      </c>
      <c r="C1990" s="389" t="s">
        <v>176</v>
      </c>
      <c r="D1990" s="179" t="s">
        <v>442</v>
      </c>
      <c r="E1990" s="174">
        <v>90000</v>
      </c>
      <c r="F1990" s="317">
        <f t="shared" si="23"/>
        <v>160.44439532072835</v>
      </c>
      <c r="G1990" s="318">
        <v>560.94200000000001</v>
      </c>
      <c r="H1990" s="174" t="s">
        <v>183</v>
      </c>
      <c r="I1990" s="174" t="s">
        <v>2487</v>
      </c>
      <c r="J1990" s="179" t="s">
        <v>97</v>
      </c>
      <c r="K1990" s="127" t="s">
        <v>1903</v>
      </c>
      <c r="L1990" s="179" t="s">
        <v>154</v>
      </c>
      <c r="M1990" s="333"/>
      <c r="N1990" s="333"/>
    </row>
    <row r="1991" spans="1:14" ht="15.6" hidden="1">
      <c r="A1991" s="370">
        <v>45900</v>
      </c>
      <c r="B1991" s="174" t="s">
        <v>3813</v>
      </c>
      <c r="C1991" s="174" t="s">
        <v>173</v>
      </c>
      <c r="D1991" s="179" t="s">
        <v>442</v>
      </c>
      <c r="E1991" s="174">
        <v>1000</v>
      </c>
      <c r="F1991" s="317">
        <f t="shared" si="23"/>
        <v>1.7827155035636482</v>
      </c>
      <c r="G1991" s="318">
        <v>560.94200000000001</v>
      </c>
      <c r="H1991" s="174" t="s">
        <v>183</v>
      </c>
      <c r="I1991" s="174" t="s">
        <v>2473</v>
      </c>
      <c r="J1991" s="179" t="s">
        <v>97</v>
      </c>
      <c r="K1991" s="127" t="s">
        <v>1903</v>
      </c>
      <c r="L1991" s="179" t="s">
        <v>154</v>
      </c>
      <c r="M1991" s="333"/>
      <c r="N1991" s="333"/>
    </row>
    <row r="1992" spans="1:14" ht="15.6" hidden="1">
      <c r="A1992" s="379">
        <v>45900</v>
      </c>
      <c r="B1992" s="179" t="s">
        <v>3906</v>
      </c>
      <c r="C1992" s="398" t="s">
        <v>173</v>
      </c>
      <c r="D1992" s="179" t="s">
        <v>442</v>
      </c>
      <c r="E1992" s="179">
        <v>35000</v>
      </c>
      <c r="F1992" s="317">
        <f t="shared" si="23"/>
        <v>62.395042624727687</v>
      </c>
      <c r="G1992" s="318">
        <v>560.94200000000001</v>
      </c>
      <c r="H1992" s="179" t="s">
        <v>174</v>
      </c>
      <c r="I1992" s="179" t="s">
        <v>2505</v>
      </c>
      <c r="J1992" s="179" t="s">
        <v>97</v>
      </c>
      <c r="K1992" s="127" t="s">
        <v>1903</v>
      </c>
      <c r="L1992" s="179" t="s">
        <v>154</v>
      </c>
      <c r="M1992" s="333"/>
      <c r="N1992" s="333"/>
    </row>
    <row r="1993" spans="1:14" ht="15.6" hidden="1">
      <c r="A1993" s="380">
        <v>45900</v>
      </c>
      <c r="B1993" s="398" t="s">
        <v>3867</v>
      </c>
      <c r="C1993" s="398" t="s">
        <v>2391</v>
      </c>
      <c r="D1993" s="179" t="s">
        <v>442</v>
      </c>
      <c r="E1993" s="179">
        <v>90000</v>
      </c>
      <c r="F1993" s="317">
        <f t="shared" si="23"/>
        <v>160.44439532072835</v>
      </c>
      <c r="G1993" s="318">
        <v>560.94200000000001</v>
      </c>
      <c r="H1993" s="179" t="s">
        <v>174</v>
      </c>
      <c r="I1993" s="179" t="s">
        <v>2506</v>
      </c>
      <c r="J1993" s="179" t="s">
        <v>97</v>
      </c>
      <c r="K1993" s="127" t="s">
        <v>1903</v>
      </c>
      <c r="L1993" s="179" t="s">
        <v>154</v>
      </c>
      <c r="M1993" s="333"/>
      <c r="N1993" s="333"/>
    </row>
    <row r="1994" spans="1:14" ht="15.6">
      <c r="A1994" s="476">
        <v>45901</v>
      </c>
      <c r="B1994" s="359" t="s">
        <v>2100</v>
      </c>
      <c r="C1994" s="462" t="s">
        <v>173</v>
      </c>
      <c r="D1994" s="462" t="s">
        <v>118</v>
      </c>
      <c r="E1994" s="359">
        <v>1000</v>
      </c>
      <c r="F1994" s="463">
        <f t="shared" si="23"/>
        <v>1.8744037053212446</v>
      </c>
      <c r="G1994" s="464">
        <v>533.50300000000004</v>
      </c>
      <c r="H1994" s="465" t="s">
        <v>152</v>
      </c>
      <c r="I1994" s="469" t="s">
        <v>2868</v>
      </c>
      <c r="J1994" s="247" t="s">
        <v>97</v>
      </c>
      <c r="K1994" s="247" t="s">
        <v>2099</v>
      </c>
      <c r="L1994" s="247" t="s">
        <v>154</v>
      </c>
      <c r="M1994" s="335"/>
      <c r="N1994" s="335"/>
    </row>
    <row r="1995" spans="1:14" ht="15.6">
      <c r="A1995" s="476">
        <v>45901</v>
      </c>
      <c r="B1995" s="359" t="s">
        <v>2101</v>
      </c>
      <c r="C1995" s="462" t="s">
        <v>173</v>
      </c>
      <c r="D1995" s="462" t="s">
        <v>118</v>
      </c>
      <c r="E1995" s="359">
        <v>1000</v>
      </c>
      <c r="F1995" s="463">
        <f t="shared" si="23"/>
        <v>1.8744037053212446</v>
      </c>
      <c r="G1995" s="464">
        <v>533.50300000000004</v>
      </c>
      <c r="H1995" s="465" t="s">
        <v>152</v>
      </c>
      <c r="I1995" s="469" t="s">
        <v>2868</v>
      </c>
      <c r="J1995" s="247" t="s">
        <v>97</v>
      </c>
      <c r="K1995" s="247" t="s">
        <v>2099</v>
      </c>
      <c r="L1995" s="247" t="s">
        <v>154</v>
      </c>
      <c r="M1995" s="335"/>
      <c r="N1995" s="335"/>
    </row>
    <row r="1996" spans="1:14" ht="15.6">
      <c r="A1996" s="476">
        <v>45901</v>
      </c>
      <c r="B1996" s="359" t="s">
        <v>2847</v>
      </c>
      <c r="C1996" s="462" t="s">
        <v>151</v>
      </c>
      <c r="D1996" s="462" t="s">
        <v>118</v>
      </c>
      <c r="E1996" s="359">
        <v>12500</v>
      </c>
      <c r="F1996" s="463">
        <f t="shared" si="23"/>
        <v>23.430046316515558</v>
      </c>
      <c r="G1996" s="464">
        <v>533.50300000000004</v>
      </c>
      <c r="H1996" s="465" t="s">
        <v>152</v>
      </c>
      <c r="I1996" s="469" t="s">
        <v>2869</v>
      </c>
      <c r="J1996" s="247" t="s">
        <v>97</v>
      </c>
      <c r="K1996" s="247" t="s">
        <v>2099</v>
      </c>
      <c r="L1996" s="247" t="s">
        <v>154</v>
      </c>
      <c r="M1996" s="335"/>
      <c r="N1996" s="335"/>
    </row>
    <row r="1997" spans="1:14" ht="15.6">
      <c r="A1997" s="473">
        <v>45901</v>
      </c>
      <c r="B1997" s="337" t="s">
        <v>2879</v>
      </c>
      <c r="C1997" s="337" t="s">
        <v>2391</v>
      </c>
      <c r="D1997" s="337" t="s">
        <v>116</v>
      </c>
      <c r="E1997" s="339">
        <v>120000</v>
      </c>
      <c r="F1997" s="463">
        <f t="shared" si="23"/>
        <v>224.92844463854934</v>
      </c>
      <c r="G1997" s="464">
        <v>533.50300000000004</v>
      </c>
      <c r="H1997" s="174" t="s">
        <v>199</v>
      </c>
      <c r="I1997" s="337" t="s">
        <v>2907</v>
      </c>
      <c r="J1997" s="247" t="s">
        <v>97</v>
      </c>
      <c r="K1997" s="247" t="s">
        <v>2099</v>
      </c>
      <c r="L1997" s="247" t="s">
        <v>154</v>
      </c>
      <c r="M1997" s="335"/>
      <c r="N1997" s="335"/>
    </row>
    <row r="1998" spans="1:14" ht="15.6">
      <c r="A1998" s="474">
        <v>45901</v>
      </c>
      <c r="B1998" s="247" t="s">
        <v>2880</v>
      </c>
      <c r="C1998" s="243" t="s">
        <v>151</v>
      </c>
      <c r="D1998" s="243" t="s">
        <v>116</v>
      </c>
      <c r="E1998" s="475">
        <v>10000</v>
      </c>
      <c r="F1998" s="463">
        <f t="shared" si="23"/>
        <v>18.744037053212445</v>
      </c>
      <c r="G1998" s="464">
        <v>533.50300000000004</v>
      </c>
      <c r="H1998" s="174" t="s">
        <v>199</v>
      </c>
      <c r="I1998" s="216" t="s">
        <v>2908</v>
      </c>
      <c r="J1998" s="247" t="s">
        <v>97</v>
      </c>
      <c r="K1998" s="247" t="s">
        <v>2099</v>
      </c>
      <c r="L1998" s="247" t="s">
        <v>154</v>
      </c>
      <c r="M1998" s="414"/>
      <c r="N1998" s="414"/>
    </row>
    <row r="1999" spans="1:14" ht="15.6">
      <c r="A1999" s="467">
        <v>45901</v>
      </c>
      <c r="B1999" s="247" t="s">
        <v>2928</v>
      </c>
      <c r="C1999" s="247" t="s">
        <v>173</v>
      </c>
      <c r="D1999" s="247" t="s">
        <v>117</v>
      </c>
      <c r="E1999" s="468">
        <v>1000</v>
      </c>
      <c r="F1999" s="463">
        <f t="shared" si="23"/>
        <v>1.8744037053212446</v>
      </c>
      <c r="G1999" s="464">
        <v>533.50300000000004</v>
      </c>
      <c r="H1999" s="247" t="s">
        <v>583</v>
      </c>
      <c r="I1999" s="247" t="s">
        <v>2970</v>
      </c>
      <c r="J1999" s="247" t="s">
        <v>97</v>
      </c>
      <c r="K1999" s="247" t="s">
        <v>2099</v>
      </c>
      <c r="L1999" s="247" t="s">
        <v>154</v>
      </c>
      <c r="M1999" s="335"/>
      <c r="N1999" s="335"/>
    </row>
    <row r="2000" spans="1:14" ht="15.6">
      <c r="A2000" s="467">
        <v>45901</v>
      </c>
      <c r="B2000" s="469" t="s">
        <v>2929</v>
      </c>
      <c r="C2000" s="469" t="s">
        <v>173</v>
      </c>
      <c r="D2000" s="469" t="s">
        <v>117</v>
      </c>
      <c r="E2000" s="470">
        <v>500</v>
      </c>
      <c r="F2000" s="463">
        <f t="shared" si="23"/>
        <v>0.93720185266062228</v>
      </c>
      <c r="G2000" s="464">
        <v>533.50300000000004</v>
      </c>
      <c r="H2000" s="469" t="s">
        <v>583</v>
      </c>
      <c r="I2000" s="469" t="s">
        <v>2970</v>
      </c>
      <c r="J2000" s="247" t="s">
        <v>97</v>
      </c>
      <c r="K2000" s="247" t="s">
        <v>2099</v>
      </c>
      <c r="L2000" s="247" t="s">
        <v>154</v>
      </c>
      <c r="M2000" s="335"/>
      <c r="N2000" s="335"/>
    </row>
    <row r="2001" spans="1:14" ht="15.6">
      <c r="A2001" s="467">
        <v>45901</v>
      </c>
      <c r="B2001" s="469" t="s">
        <v>2930</v>
      </c>
      <c r="C2001" s="469" t="s">
        <v>173</v>
      </c>
      <c r="D2001" s="469" t="s">
        <v>117</v>
      </c>
      <c r="E2001" s="470">
        <v>1000</v>
      </c>
      <c r="F2001" s="463">
        <f t="shared" si="23"/>
        <v>1.8744037053212446</v>
      </c>
      <c r="G2001" s="464">
        <v>533.50300000000004</v>
      </c>
      <c r="H2001" s="469" t="s">
        <v>583</v>
      </c>
      <c r="I2001" s="469" t="s">
        <v>2970</v>
      </c>
      <c r="J2001" s="247" t="s">
        <v>97</v>
      </c>
      <c r="K2001" s="247" t="s">
        <v>2099</v>
      </c>
      <c r="L2001" s="247" t="s">
        <v>154</v>
      </c>
      <c r="M2001" s="335"/>
      <c r="N2001" s="335"/>
    </row>
    <row r="2002" spans="1:14" ht="15.6">
      <c r="A2002" s="471">
        <v>45901</v>
      </c>
      <c r="B2002" s="469" t="s">
        <v>2931</v>
      </c>
      <c r="C2002" s="247" t="s">
        <v>176</v>
      </c>
      <c r="D2002" s="247" t="s">
        <v>116</v>
      </c>
      <c r="E2002" s="468">
        <v>150000</v>
      </c>
      <c r="F2002" s="463">
        <f t="shared" si="23"/>
        <v>281.16055579818669</v>
      </c>
      <c r="G2002" s="464">
        <v>533.50300000000004</v>
      </c>
      <c r="H2002" s="469" t="s">
        <v>583</v>
      </c>
      <c r="I2002" s="247" t="s">
        <v>2971</v>
      </c>
      <c r="J2002" s="247" t="s">
        <v>97</v>
      </c>
      <c r="K2002" s="247" t="s">
        <v>2099</v>
      </c>
      <c r="L2002" s="247" t="s">
        <v>154</v>
      </c>
      <c r="M2002" s="335"/>
      <c r="N2002" s="335"/>
    </row>
    <row r="2003" spans="1:14" ht="15.6">
      <c r="A2003" s="471">
        <v>45901</v>
      </c>
      <c r="B2003" s="469" t="s">
        <v>2932</v>
      </c>
      <c r="C2003" s="247" t="s">
        <v>173</v>
      </c>
      <c r="D2003" s="247" t="s">
        <v>116</v>
      </c>
      <c r="E2003" s="468">
        <v>12000</v>
      </c>
      <c r="F2003" s="463">
        <f t="shared" si="23"/>
        <v>21.392586042763778</v>
      </c>
      <c r="G2003" s="464">
        <v>560.94200000000001</v>
      </c>
      <c r="H2003" s="469" t="s">
        <v>583</v>
      </c>
      <c r="I2003" s="247" t="s">
        <v>2972</v>
      </c>
      <c r="J2003" s="247" t="s">
        <v>97</v>
      </c>
      <c r="K2003" s="247" t="s">
        <v>1903</v>
      </c>
      <c r="L2003" s="247" t="s">
        <v>154</v>
      </c>
      <c r="M2003" s="414"/>
      <c r="N2003" s="414"/>
    </row>
    <row r="2004" spans="1:14" ht="15.6">
      <c r="A2004" s="467">
        <v>45901</v>
      </c>
      <c r="B2004" s="469" t="s">
        <v>2933</v>
      </c>
      <c r="C2004" s="469" t="s">
        <v>173</v>
      </c>
      <c r="D2004" s="469" t="s">
        <v>117</v>
      </c>
      <c r="E2004" s="470">
        <v>500</v>
      </c>
      <c r="F2004" s="463">
        <f t="shared" si="23"/>
        <v>0.89135775178182408</v>
      </c>
      <c r="G2004" s="464">
        <v>560.94200000000001</v>
      </c>
      <c r="H2004" s="469" t="s">
        <v>583</v>
      </c>
      <c r="I2004" s="469" t="s">
        <v>2970</v>
      </c>
      <c r="J2004" s="247" t="s">
        <v>97</v>
      </c>
      <c r="K2004" s="247" t="s">
        <v>1903</v>
      </c>
      <c r="L2004" s="247" t="s">
        <v>154</v>
      </c>
      <c r="M2004" s="414"/>
      <c r="N2004" s="414"/>
    </row>
    <row r="2005" spans="1:14" ht="15.6">
      <c r="A2005" s="471">
        <v>45901</v>
      </c>
      <c r="B2005" s="469" t="s">
        <v>2452</v>
      </c>
      <c r="C2005" s="469" t="s">
        <v>181</v>
      </c>
      <c r="D2005" s="469" t="s">
        <v>117</v>
      </c>
      <c r="E2005" s="468">
        <v>9360</v>
      </c>
      <c r="F2005" s="463">
        <f t="shared" si="23"/>
        <v>16.686217113355749</v>
      </c>
      <c r="G2005" s="464">
        <v>560.94200000000001</v>
      </c>
      <c r="H2005" s="247" t="s">
        <v>583</v>
      </c>
      <c r="I2005" s="247" t="s">
        <v>2973</v>
      </c>
      <c r="J2005" s="247" t="s">
        <v>97</v>
      </c>
      <c r="K2005" s="247" t="s">
        <v>1903</v>
      </c>
      <c r="L2005" s="247" t="s">
        <v>154</v>
      </c>
      <c r="M2005" s="414"/>
      <c r="N2005" s="414"/>
    </row>
    <row r="2006" spans="1:14" ht="15.6">
      <c r="A2006" s="467">
        <v>45901</v>
      </c>
      <c r="B2006" s="469" t="s">
        <v>2452</v>
      </c>
      <c r="C2006" s="469" t="s">
        <v>173</v>
      </c>
      <c r="D2006" s="469" t="s">
        <v>117</v>
      </c>
      <c r="E2006" s="470">
        <v>500</v>
      </c>
      <c r="F2006" s="463">
        <f t="shared" si="23"/>
        <v>0.89135775178182408</v>
      </c>
      <c r="G2006" s="464">
        <v>560.94200000000001</v>
      </c>
      <c r="H2006" s="469" t="s">
        <v>583</v>
      </c>
      <c r="I2006" s="469" t="s">
        <v>2970</v>
      </c>
      <c r="J2006" s="247" t="s">
        <v>97</v>
      </c>
      <c r="K2006" s="247" t="s">
        <v>1903</v>
      </c>
      <c r="L2006" s="247" t="s">
        <v>154</v>
      </c>
      <c r="M2006" s="414"/>
      <c r="N2006" s="414"/>
    </row>
    <row r="2007" spans="1:14" ht="15.6">
      <c r="A2007" s="467">
        <v>45901</v>
      </c>
      <c r="B2007" s="469" t="s">
        <v>2935</v>
      </c>
      <c r="C2007" s="472" t="s">
        <v>151</v>
      </c>
      <c r="D2007" s="469" t="s">
        <v>118</v>
      </c>
      <c r="E2007" s="470">
        <v>7500</v>
      </c>
      <c r="F2007" s="463">
        <f t="shared" si="23"/>
        <v>13.370366276727362</v>
      </c>
      <c r="G2007" s="464">
        <v>560.94200000000001</v>
      </c>
      <c r="H2007" s="469" t="s">
        <v>583</v>
      </c>
      <c r="I2007" s="469" t="s">
        <v>2974</v>
      </c>
      <c r="J2007" s="247" t="s">
        <v>97</v>
      </c>
      <c r="K2007" s="247" t="s">
        <v>1903</v>
      </c>
      <c r="L2007" s="247" t="s">
        <v>154</v>
      </c>
      <c r="M2007" s="414"/>
      <c r="N2007" s="414"/>
    </row>
    <row r="2008" spans="1:14" ht="15.6">
      <c r="A2008" s="473">
        <v>45901</v>
      </c>
      <c r="B2008" s="339" t="s">
        <v>3770</v>
      </c>
      <c r="C2008" s="339" t="s">
        <v>176</v>
      </c>
      <c r="D2008" s="179" t="s">
        <v>442</v>
      </c>
      <c r="E2008" s="339">
        <v>15000</v>
      </c>
      <c r="F2008" s="463">
        <f t="shared" si="23"/>
        <v>26.740732553454723</v>
      </c>
      <c r="G2008" s="464">
        <v>560.94200000000001</v>
      </c>
      <c r="H2008" s="339" t="s">
        <v>183</v>
      </c>
      <c r="I2008" s="339" t="s">
        <v>3085</v>
      </c>
      <c r="J2008" s="247" t="s">
        <v>97</v>
      </c>
      <c r="K2008" s="247" t="s">
        <v>1903</v>
      </c>
      <c r="L2008" s="247" t="s">
        <v>154</v>
      </c>
      <c r="M2008" s="335"/>
      <c r="N2008" s="335"/>
    </row>
    <row r="2009" spans="1:14" ht="15.6">
      <c r="A2009" s="474">
        <v>45901</v>
      </c>
      <c r="B2009" s="475" t="s">
        <v>3814</v>
      </c>
      <c r="C2009" s="475" t="s">
        <v>173</v>
      </c>
      <c r="D2009" s="179" t="s">
        <v>442</v>
      </c>
      <c r="E2009" s="475">
        <v>1000</v>
      </c>
      <c r="F2009" s="463">
        <f t="shared" si="23"/>
        <v>1.7827155035636482</v>
      </c>
      <c r="G2009" s="464">
        <v>560.94200000000001</v>
      </c>
      <c r="H2009" s="475" t="s">
        <v>183</v>
      </c>
      <c r="I2009" s="475" t="s">
        <v>3086</v>
      </c>
      <c r="J2009" s="247" t="s">
        <v>97</v>
      </c>
      <c r="K2009" s="247" t="s">
        <v>1903</v>
      </c>
      <c r="L2009" s="247" t="s">
        <v>154</v>
      </c>
      <c r="M2009" s="414"/>
      <c r="N2009" s="414"/>
    </row>
    <row r="2010" spans="1:14" ht="15.6">
      <c r="A2010" s="474">
        <v>45901</v>
      </c>
      <c r="B2010" s="475" t="s">
        <v>3815</v>
      </c>
      <c r="C2010" s="475" t="s">
        <v>173</v>
      </c>
      <c r="D2010" s="179" t="s">
        <v>442</v>
      </c>
      <c r="E2010" s="475">
        <v>2500</v>
      </c>
      <c r="F2010" s="463">
        <f t="shared" si="23"/>
        <v>4.4567887589091209</v>
      </c>
      <c r="G2010" s="464">
        <v>560.94200000000001</v>
      </c>
      <c r="H2010" s="475" t="s">
        <v>183</v>
      </c>
      <c r="I2010" s="475" t="s">
        <v>3086</v>
      </c>
      <c r="J2010" s="247" t="s">
        <v>97</v>
      </c>
      <c r="K2010" s="247" t="s">
        <v>1903</v>
      </c>
      <c r="L2010" s="247" t="s">
        <v>154</v>
      </c>
      <c r="M2010" s="414"/>
      <c r="N2010" s="414"/>
    </row>
    <row r="2011" spans="1:14" ht="15.6">
      <c r="A2011" s="474">
        <v>45901</v>
      </c>
      <c r="B2011" s="339" t="s">
        <v>2990</v>
      </c>
      <c r="C2011" s="339" t="s">
        <v>151</v>
      </c>
      <c r="D2011" s="179" t="s">
        <v>442</v>
      </c>
      <c r="E2011" s="475">
        <v>10000</v>
      </c>
      <c r="F2011" s="463">
        <f t="shared" si="23"/>
        <v>17.827155035636483</v>
      </c>
      <c r="G2011" s="464">
        <v>560.94200000000001</v>
      </c>
      <c r="H2011" s="475" t="s">
        <v>183</v>
      </c>
      <c r="I2011" s="475" t="s">
        <v>3087</v>
      </c>
      <c r="J2011" s="247" t="s">
        <v>97</v>
      </c>
      <c r="K2011" s="247" t="s">
        <v>1903</v>
      </c>
      <c r="L2011" s="247" t="s">
        <v>154</v>
      </c>
      <c r="M2011" s="414"/>
      <c r="N2011" s="414"/>
    </row>
    <row r="2012" spans="1:14" ht="15.6">
      <c r="A2012" s="471">
        <v>45901</v>
      </c>
      <c r="B2012" s="247" t="s">
        <v>3871</v>
      </c>
      <c r="C2012" s="247" t="s">
        <v>3109</v>
      </c>
      <c r="D2012" s="179" t="s">
        <v>442</v>
      </c>
      <c r="E2012" s="247">
        <v>15000</v>
      </c>
      <c r="F2012" s="463">
        <f t="shared" si="23"/>
        <v>26.740732553454723</v>
      </c>
      <c r="G2012" s="464">
        <v>560.94200000000001</v>
      </c>
      <c r="H2012" s="247" t="s">
        <v>174</v>
      </c>
      <c r="I2012" s="247" t="s">
        <v>3192</v>
      </c>
      <c r="J2012" s="247" t="s">
        <v>97</v>
      </c>
      <c r="K2012" s="247" t="s">
        <v>1903</v>
      </c>
      <c r="L2012" s="247" t="s">
        <v>154</v>
      </c>
      <c r="M2012" s="335"/>
      <c r="N2012" s="335"/>
    </row>
    <row r="2013" spans="1:14" ht="15.6">
      <c r="A2013" s="476">
        <v>45901</v>
      </c>
      <c r="B2013" s="339" t="s">
        <v>3110</v>
      </c>
      <c r="C2013" s="339" t="s">
        <v>151</v>
      </c>
      <c r="D2013" s="179" t="s">
        <v>442</v>
      </c>
      <c r="E2013" s="469">
        <v>10000</v>
      </c>
      <c r="F2013" s="463">
        <f t="shared" si="23"/>
        <v>17.827155035636483</v>
      </c>
      <c r="G2013" s="464">
        <v>560.94200000000001</v>
      </c>
      <c r="H2013" s="469" t="s">
        <v>174</v>
      </c>
      <c r="I2013" s="469" t="s">
        <v>3193</v>
      </c>
      <c r="J2013" s="247" t="s">
        <v>97</v>
      </c>
      <c r="K2013" s="247" t="s">
        <v>1903</v>
      </c>
      <c r="L2013" s="247" t="s">
        <v>154</v>
      </c>
      <c r="M2013" s="335"/>
      <c r="N2013" s="335"/>
    </row>
    <row r="2014" spans="1:14" ht="15.6">
      <c r="A2014" s="471">
        <v>45901</v>
      </c>
      <c r="B2014" s="469" t="s">
        <v>3216</v>
      </c>
      <c r="C2014" s="469" t="s">
        <v>151</v>
      </c>
      <c r="D2014" s="179" t="s">
        <v>442</v>
      </c>
      <c r="E2014" s="477">
        <v>10000</v>
      </c>
      <c r="F2014" s="463">
        <f t="shared" si="23"/>
        <v>17.827155035636483</v>
      </c>
      <c r="G2014" s="464">
        <v>560.94200000000001</v>
      </c>
      <c r="H2014" s="247" t="s">
        <v>316</v>
      </c>
      <c r="I2014" s="247" t="s">
        <v>3258</v>
      </c>
      <c r="J2014" s="247" t="s">
        <v>97</v>
      </c>
      <c r="K2014" s="247" t="s">
        <v>1903</v>
      </c>
      <c r="L2014" s="247" t="s">
        <v>154</v>
      </c>
      <c r="M2014" s="414"/>
      <c r="N2014" s="414"/>
    </row>
    <row r="2015" spans="1:14" ht="15.6">
      <c r="A2015" s="476">
        <v>45901</v>
      </c>
      <c r="B2015" s="469" t="s">
        <v>3275</v>
      </c>
      <c r="C2015" s="469" t="s">
        <v>151</v>
      </c>
      <c r="D2015" s="179" t="s">
        <v>442</v>
      </c>
      <c r="E2015" s="472">
        <v>10000</v>
      </c>
      <c r="F2015" s="463">
        <f t="shared" si="23"/>
        <v>17.827155035636483</v>
      </c>
      <c r="G2015" s="464">
        <v>560.94200000000001</v>
      </c>
      <c r="H2015" s="469" t="s">
        <v>322</v>
      </c>
      <c r="I2015" s="469" t="s">
        <v>3298</v>
      </c>
      <c r="J2015" s="247" t="s">
        <v>97</v>
      </c>
      <c r="K2015" s="247" t="s">
        <v>1903</v>
      </c>
      <c r="L2015" s="247" t="s">
        <v>154</v>
      </c>
      <c r="M2015" s="335"/>
      <c r="N2015" s="335"/>
    </row>
    <row r="2016" spans="1:14" ht="15.6">
      <c r="A2016" s="471">
        <v>45901</v>
      </c>
      <c r="B2016" s="469" t="s">
        <v>3305</v>
      </c>
      <c r="C2016" s="469" t="s">
        <v>151</v>
      </c>
      <c r="D2016" s="469" t="s">
        <v>116</v>
      </c>
      <c r="E2016" s="468">
        <v>7500</v>
      </c>
      <c r="F2016" s="463">
        <f t="shared" si="23"/>
        <v>13.370366276727362</v>
      </c>
      <c r="G2016" s="464">
        <v>560.94200000000001</v>
      </c>
      <c r="H2016" s="247" t="s">
        <v>189</v>
      </c>
      <c r="I2016" s="247" t="s">
        <v>3323</v>
      </c>
      <c r="J2016" s="247" t="s">
        <v>97</v>
      </c>
      <c r="K2016" s="247" t="s">
        <v>1903</v>
      </c>
      <c r="L2016" s="247" t="s">
        <v>154</v>
      </c>
      <c r="M2016" s="335"/>
      <c r="N2016" s="335"/>
    </row>
    <row r="2017" spans="1:14" ht="15.6">
      <c r="A2017" s="471">
        <v>45901</v>
      </c>
      <c r="B2017" s="469" t="s">
        <v>3333</v>
      </c>
      <c r="C2017" s="247" t="s">
        <v>173</v>
      </c>
      <c r="D2017" s="247" t="s">
        <v>116</v>
      </c>
      <c r="E2017" s="468">
        <v>500</v>
      </c>
      <c r="F2017" s="463">
        <f t="shared" si="23"/>
        <v>0.89135775178182408</v>
      </c>
      <c r="G2017" s="464">
        <v>560.94200000000001</v>
      </c>
      <c r="H2017" s="247" t="s">
        <v>192</v>
      </c>
      <c r="I2017" s="469" t="s">
        <v>3360</v>
      </c>
      <c r="J2017" s="247" t="s">
        <v>97</v>
      </c>
      <c r="K2017" s="247" t="s">
        <v>1903</v>
      </c>
      <c r="L2017" s="247" t="s">
        <v>154</v>
      </c>
      <c r="M2017" s="127"/>
      <c r="N2017" s="127"/>
    </row>
    <row r="2018" spans="1:14" ht="15.6">
      <c r="A2018" s="471">
        <v>45901</v>
      </c>
      <c r="B2018" s="469" t="s">
        <v>3334</v>
      </c>
      <c r="C2018" s="247" t="s">
        <v>173</v>
      </c>
      <c r="D2018" s="247" t="s">
        <v>116</v>
      </c>
      <c r="E2018" s="468">
        <v>500</v>
      </c>
      <c r="F2018" s="463">
        <f t="shared" si="23"/>
        <v>0.89135775178182408</v>
      </c>
      <c r="G2018" s="464">
        <v>560.94200000000001</v>
      </c>
      <c r="H2018" s="247" t="s">
        <v>192</v>
      </c>
      <c r="I2018" s="469" t="s">
        <v>3360</v>
      </c>
      <c r="J2018" s="247" t="s">
        <v>97</v>
      </c>
      <c r="K2018" s="247" t="s">
        <v>1903</v>
      </c>
      <c r="L2018" s="247" t="s">
        <v>154</v>
      </c>
      <c r="M2018" s="127"/>
      <c r="N2018" s="127"/>
    </row>
    <row r="2019" spans="1:14" ht="15.6">
      <c r="A2019" s="471">
        <v>45901</v>
      </c>
      <c r="B2019" s="469" t="s">
        <v>3335</v>
      </c>
      <c r="C2019" s="469" t="s">
        <v>173</v>
      </c>
      <c r="D2019" s="469" t="s">
        <v>116</v>
      </c>
      <c r="E2019" s="470">
        <v>37000</v>
      </c>
      <c r="F2019" s="463">
        <f t="shared" si="23"/>
        <v>65.960473631854981</v>
      </c>
      <c r="G2019" s="464">
        <v>560.94200000000001</v>
      </c>
      <c r="H2019" s="247" t="s">
        <v>192</v>
      </c>
      <c r="I2019" s="469" t="s">
        <v>3361</v>
      </c>
      <c r="J2019" s="247" t="s">
        <v>97</v>
      </c>
      <c r="K2019" s="247" t="s">
        <v>1903</v>
      </c>
      <c r="L2019" s="247" t="s">
        <v>154</v>
      </c>
      <c r="M2019" s="127"/>
      <c r="N2019" s="127"/>
    </row>
    <row r="2020" spans="1:14" ht="15.6">
      <c r="A2020" s="471">
        <v>45901</v>
      </c>
      <c r="B2020" s="469" t="s">
        <v>3336</v>
      </c>
      <c r="C2020" s="469" t="s">
        <v>176</v>
      </c>
      <c r="D2020" s="469" t="s">
        <v>116</v>
      </c>
      <c r="E2020" s="470">
        <v>60000</v>
      </c>
      <c r="F2020" s="463">
        <f t="shared" si="23"/>
        <v>106.96293021381889</v>
      </c>
      <c r="G2020" s="464">
        <v>560.94200000000001</v>
      </c>
      <c r="H2020" s="247" t="s">
        <v>192</v>
      </c>
      <c r="I2020" s="469" t="s">
        <v>3363</v>
      </c>
      <c r="J2020" s="247" t="s">
        <v>97</v>
      </c>
      <c r="K2020" s="247" t="s">
        <v>1903</v>
      </c>
      <c r="L2020" s="247" t="s">
        <v>154</v>
      </c>
      <c r="M2020" s="127"/>
      <c r="N2020" s="127"/>
    </row>
    <row r="2021" spans="1:14" ht="15.6">
      <c r="A2021" s="471">
        <v>45901</v>
      </c>
      <c r="B2021" s="469" t="s">
        <v>3337</v>
      </c>
      <c r="C2021" s="469" t="s">
        <v>151</v>
      </c>
      <c r="D2021" s="469" t="s">
        <v>116</v>
      </c>
      <c r="E2021" s="470">
        <v>7500</v>
      </c>
      <c r="F2021" s="463">
        <f t="shared" si="23"/>
        <v>13.370366276727362</v>
      </c>
      <c r="G2021" s="464">
        <v>560.94200000000001</v>
      </c>
      <c r="H2021" s="247" t="s">
        <v>192</v>
      </c>
      <c r="I2021" s="469" t="s">
        <v>3364</v>
      </c>
      <c r="J2021" s="247" t="s">
        <v>97</v>
      </c>
      <c r="K2021" s="247" t="s">
        <v>1903</v>
      </c>
      <c r="L2021" s="247" t="s">
        <v>154</v>
      </c>
      <c r="M2021" s="127"/>
      <c r="N2021" s="127"/>
    </row>
    <row r="2022" spans="1:14" ht="15.6">
      <c r="A2022" s="461">
        <v>45901</v>
      </c>
      <c r="B2022" s="469" t="s">
        <v>3374</v>
      </c>
      <c r="C2022" s="359" t="s">
        <v>195</v>
      </c>
      <c r="D2022" s="359" t="s">
        <v>116</v>
      </c>
      <c r="E2022" s="472">
        <v>500</v>
      </c>
      <c r="F2022" s="463">
        <f t="shared" ref="F2022:F2085" si="24">E2022/G2022</f>
        <v>0.89135775178182408</v>
      </c>
      <c r="G2022" s="464">
        <v>560.94200000000001</v>
      </c>
      <c r="H2022" s="256" t="s">
        <v>196</v>
      </c>
      <c r="I2022" s="469" t="s">
        <v>3411</v>
      </c>
      <c r="J2022" s="247" t="s">
        <v>97</v>
      </c>
      <c r="K2022" s="247" t="s">
        <v>1903</v>
      </c>
      <c r="L2022" s="247" t="s">
        <v>154</v>
      </c>
      <c r="M2022" s="76"/>
      <c r="N2022" s="76"/>
    </row>
    <row r="2023" spans="1:14" ht="15.6">
      <c r="A2023" s="461">
        <v>45901</v>
      </c>
      <c r="B2023" s="469" t="s">
        <v>3375</v>
      </c>
      <c r="C2023" s="359" t="s">
        <v>195</v>
      </c>
      <c r="D2023" s="359" t="s">
        <v>116</v>
      </c>
      <c r="E2023" s="472">
        <v>500</v>
      </c>
      <c r="F2023" s="463">
        <f t="shared" si="24"/>
        <v>0.89135775178182408</v>
      </c>
      <c r="G2023" s="464">
        <v>560.94200000000001</v>
      </c>
      <c r="H2023" s="256" t="s">
        <v>196</v>
      </c>
      <c r="I2023" s="469" t="s">
        <v>3411</v>
      </c>
      <c r="J2023" s="247" t="s">
        <v>97</v>
      </c>
      <c r="K2023" s="247" t="s">
        <v>1903</v>
      </c>
      <c r="L2023" s="247" t="s">
        <v>154</v>
      </c>
      <c r="M2023" s="76"/>
      <c r="N2023" s="76"/>
    </row>
    <row r="2024" spans="1:14" ht="15.6">
      <c r="A2024" s="461">
        <v>45901</v>
      </c>
      <c r="B2024" s="247" t="s">
        <v>3376</v>
      </c>
      <c r="C2024" s="243" t="s">
        <v>151</v>
      </c>
      <c r="D2024" s="243" t="s">
        <v>116</v>
      </c>
      <c r="E2024" s="478">
        <v>10000</v>
      </c>
      <c r="F2024" s="463">
        <f t="shared" si="24"/>
        <v>17.827155035636483</v>
      </c>
      <c r="G2024" s="464">
        <v>560.94200000000001</v>
      </c>
      <c r="H2024" s="256" t="s">
        <v>196</v>
      </c>
      <c r="I2024" s="469" t="s">
        <v>3412</v>
      </c>
      <c r="J2024" s="247" t="s">
        <v>97</v>
      </c>
      <c r="K2024" s="247" t="s">
        <v>1903</v>
      </c>
      <c r="L2024" s="247" t="s">
        <v>154</v>
      </c>
      <c r="M2024" s="76"/>
      <c r="N2024" s="76"/>
    </row>
    <row r="2025" spans="1:14" ht="15.6">
      <c r="A2025" s="461">
        <v>45901</v>
      </c>
      <c r="B2025" s="469" t="s">
        <v>3377</v>
      </c>
      <c r="C2025" s="359" t="s">
        <v>195</v>
      </c>
      <c r="D2025" s="359" t="s">
        <v>116</v>
      </c>
      <c r="E2025" s="472">
        <v>500</v>
      </c>
      <c r="F2025" s="463">
        <f t="shared" si="24"/>
        <v>0.89135775178182408</v>
      </c>
      <c r="G2025" s="464">
        <v>560.94200000000001</v>
      </c>
      <c r="H2025" s="256" t="s">
        <v>196</v>
      </c>
      <c r="I2025" s="469" t="s">
        <v>3411</v>
      </c>
      <c r="J2025" s="247" t="s">
        <v>97</v>
      </c>
      <c r="K2025" s="247" t="s">
        <v>1903</v>
      </c>
      <c r="L2025" s="247" t="s">
        <v>154</v>
      </c>
      <c r="M2025" s="76"/>
      <c r="N2025" s="76"/>
    </row>
    <row r="2026" spans="1:14" ht="15.6">
      <c r="A2026" s="461">
        <v>45901</v>
      </c>
      <c r="B2026" s="247" t="s">
        <v>3379</v>
      </c>
      <c r="C2026" s="247" t="s">
        <v>176</v>
      </c>
      <c r="D2026" s="247" t="s">
        <v>116</v>
      </c>
      <c r="E2026" s="478">
        <v>120000</v>
      </c>
      <c r="F2026" s="463">
        <f t="shared" si="24"/>
        <v>213.92586042763779</v>
      </c>
      <c r="G2026" s="464">
        <v>560.94200000000001</v>
      </c>
      <c r="H2026" s="256" t="s">
        <v>196</v>
      </c>
      <c r="I2026" s="469" t="s">
        <v>3414</v>
      </c>
      <c r="J2026" s="247" t="s">
        <v>97</v>
      </c>
      <c r="K2026" s="247" t="s">
        <v>1903</v>
      </c>
      <c r="L2026" s="247" t="s">
        <v>154</v>
      </c>
      <c r="M2026" s="76"/>
      <c r="N2026" s="76"/>
    </row>
    <row r="2027" spans="1:14" ht="15.6">
      <c r="A2027" s="461">
        <v>45902</v>
      </c>
      <c r="B2027" s="469" t="s">
        <v>3380</v>
      </c>
      <c r="C2027" s="359" t="s">
        <v>195</v>
      </c>
      <c r="D2027" s="359" t="s">
        <v>116</v>
      </c>
      <c r="E2027" s="472">
        <v>500</v>
      </c>
      <c r="F2027" s="463">
        <f t="shared" si="24"/>
        <v>0.89135775178182408</v>
      </c>
      <c r="G2027" s="464">
        <v>560.94200000000001</v>
      </c>
      <c r="H2027" s="256" t="s">
        <v>196</v>
      </c>
      <c r="I2027" s="469" t="s">
        <v>3411</v>
      </c>
      <c r="J2027" s="247" t="s">
        <v>97</v>
      </c>
      <c r="K2027" s="247" t="s">
        <v>1903</v>
      </c>
      <c r="L2027" s="247" t="s">
        <v>154</v>
      </c>
      <c r="M2027" s="76"/>
      <c r="N2027" s="76"/>
    </row>
    <row r="2028" spans="1:14" ht="15.6">
      <c r="A2028" s="476">
        <v>45901</v>
      </c>
      <c r="B2028" s="469" t="s">
        <v>3428</v>
      </c>
      <c r="C2028" s="469" t="s">
        <v>173</v>
      </c>
      <c r="D2028" s="469" t="s">
        <v>119</v>
      </c>
      <c r="E2028" s="472">
        <v>37000</v>
      </c>
      <c r="F2028" s="463">
        <f t="shared" si="24"/>
        <v>65.960473631854981</v>
      </c>
      <c r="G2028" s="464">
        <v>560.94200000000001</v>
      </c>
      <c r="H2028" s="469" t="s">
        <v>212</v>
      </c>
      <c r="I2028" s="469" t="s">
        <v>3468</v>
      </c>
      <c r="J2028" s="247" t="s">
        <v>97</v>
      </c>
      <c r="K2028" s="247" t="s">
        <v>1903</v>
      </c>
      <c r="L2028" s="247" t="s">
        <v>154</v>
      </c>
      <c r="M2028" s="76"/>
      <c r="N2028" s="76"/>
    </row>
    <row r="2029" spans="1:14" ht="15.6">
      <c r="A2029" s="476">
        <v>45901</v>
      </c>
      <c r="B2029" s="469" t="s">
        <v>3638</v>
      </c>
      <c r="C2029" s="469" t="s">
        <v>176</v>
      </c>
      <c r="D2029" s="469" t="s">
        <v>119</v>
      </c>
      <c r="E2029" s="472">
        <v>240000</v>
      </c>
      <c r="F2029" s="463">
        <f t="shared" si="24"/>
        <v>427.85172085527557</v>
      </c>
      <c r="G2029" s="464">
        <v>560.94200000000001</v>
      </c>
      <c r="H2029" s="469" t="s">
        <v>212</v>
      </c>
      <c r="I2029" s="469" t="s">
        <v>3469</v>
      </c>
      <c r="J2029" s="247" t="s">
        <v>97</v>
      </c>
      <c r="K2029" s="247" t="s">
        <v>1903</v>
      </c>
      <c r="L2029" s="247" t="s">
        <v>154</v>
      </c>
      <c r="M2029" s="76"/>
      <c r="N2029" s="76"/>
    </row>
    <row r="2030" spans="1:14" ht="15.6">
      <c r="A2030" s="476">
        <v>45901</v>
      </c>
      <c r="B2030" s="469" t="s">
        <v>2736</v>
      </c>
      <c r="C2030" s="469" t="s">
        <v>173</v>
      </c>
      <c r="D2030" s="469" t="s">
        <v>119</v>
      </c>
      <c r="E2030" s="472">
        <v>500</v>
      </c>
      <c r="F2030" s="463">
        <f t="shared" si="24"/>
        <v>0.89135775178182408</v>
      </c>
      <c r="G2030" s="464">
        <v>560.94200000000001</v>
      </c>
      <c r="H2030" s="469" t="s">
        <v>212</v>
      </c>
      <c r="I2030" s="469" t="s">
        <v>3470</v>
      </c>
      <c r="J2030" s="247" t="s">
        <v>97</v>
      </c>
      <c r="K2030" s="247" t="s">
        <v>1903</v>
      </c>
      <c r="L2030" s="247" t="s">
        <v>154</v>
      </c>
      <c r="M2030" s="76"/>
      <c r="N2030" s="76"/>
    </row>
    <row r="2031" spans="1:14" ht="15.6">
      <c r="A2031" s="476">
        <v>45901</v>
      </c>
      <c r="B2031" s="247" t="s">
        <v>3429</v>
      </c>
      <c r="C2031" s="243" t="s">
        <v>151</v>
      </c>
      <c r="D2031" s="469" t="s">
        <v>119</v>
      </c>
      <c r="E2031" s="472">
        <v>10000</v>
      </c>
      <c r="F2031" s="463">
        <f t="shared" si="24"/>
        <v>17.827155035636483</v>
      </c>
      <c r="G2031" s="464">
        <v>560.94200000000001</v>
      </c>
      <c r="H2031" s="469" t="s">
        <v>212</v>
      </c>
      <c r="I2031" s="469" t="s">
        <v>3471</v>
      </c>
      <c r="J2031" s="247" t="s">
        <v>97</v>
      </c>
      <c r="K2031" s="247" t="s">
        <v>1903</v>
      </c>
      <c r="L2031" s="247" t="s">
        <v>154</v>
      </c>
      <c r="M2031" s="76"/>
      <c r="N2031" s="76"/>
    </row>
    <row r="2032" spans="1:14" ht="15.6">
      <c r="A2032" s="476">
        <v>45901</v>
      </c>
      <c r="B2032" s="469" t="s">
        <v>3486</v>
      </c>
      <c r="C2032" s="469" t="s">
        <v>151</v>
      </c>
      <c r="D2032" s="469" t="s">
        <v>116</v>
      </c>
      <c r="E2032" s="469">
        <v>7500</v>
      </c>
      <c r="F2032" s="463">
        <f t="shared" si="24"/>
        <v>13.370366276727362</v>
      </c>
      <c r="G2032" s="464">
        <v>560.94200000000001</v>
      </c>
      <c r="H2032" s="469" t="s">
        <v>186</v>
      </c>
      <c r="I2032" s="469" t="s">
        <v>3503</v>
      </c>
      <c r="J2032" s="247" t="s">
        <v>97</v>
      </c>
      <c r="K2032" s="247" t="s">
        <v>1903</v>
      </c>
      <c r="L2032" s="247" t="s">
        <v>154</v>
      </c>
      <c r="M2032" s="76"/>
      <c r="N2032" s="76"/>
    </row>
    <row r="2033" spans="1:14" ht="15.6">
      <c r="A2033" s="476">
        <v>45902</v>
      </c>
      <c r="B2033" s="359" t="s">
        <v>2104</v>
      </c>
      <c r="C2033" s="462" t="s">
        <v>173</v>
      </c>
      <c r="D2033" s="462" t="s">
        <v>118</v>
      </c>
      <c r="E2033" s="359">
        <v>1000</v>
      </c>
      <c r="F2033" s="463">
        <f t="shared" si="24"/>
        <v>1.7827155035636482</v>
      </c>
      <c r="G2033" s="464">
        <v>560.94200000000001</v>
      </c>
      <c r="H2033" s="465" t="s">
        <v>152</v>
      </c>
      <c r="I2033" s="469" t="s">
        <v>2868</v>
      </c>
      <c r="J2033" s="247" t="s">
        <v>97</v>
      </c>
      <c r="K2033" s="247" t="s">
        <v>1903</v>
      </c>
      <c r="L2033" s="247" t="s">
        <v>154</v>
      </c>
      <c r="M2033" s="414"/>
      <c r="N2033" s="414"/>
    </row>
    <row r="2034" spans="1:14" ht="15.6">
      <c r="A2034" s="476">
        <v>45902</v>
      </c>
      <c r="B2034" s="359" t="s">
        <v>2110</v>
      </c>
      <c r="C2034" s="462" t="s">
        <v>173</v>
      </c>
      <c r="D2034" s="462" t="s">
        <v>118</v>
      </c>
      <c r="E2034" s="359">
        <v>1000</v>
      </c>
      <c r="F2034" s="463">
        <f t="shared" si="24"/>
        <v>1.7827155035636482</v>
      </c>
      <c r="G2034" s="464">
        <v>560.94200000000001</v>
      </c>
      <c r="H2034" s="465" t="s">
        <v>152</v>
      </c>
      <c r="I2034" s="469" t="s">
        <v>2868</v>
      </c>
      <c r="J2034" s="247" t="s">
        <v>97</v>
      </c>
      <c r="K2034" s="247" t="s">
        <v>1903</v>
      </c>
      <c r="L2034" s="247" t="s">
        <v>154</v>
      </c>
      <c r="M2034" s="335"/>
      <c r="N2034" s="335"/>
    </row>
    <row r="2035" spans="1:14" ht="15.6">
      <c r="A2035" s="476">
        <v>45902</v>
      </c>
      <c r="B2035" s="359" t="s">
        <v>2101</v>
      </c>
      <c r="C2035" s="462" t="s">
        <v>173</v>
      </c>
      <c r="D2035" s="462" t="s">
        <v>118</v>
      </c>
      <c r="E2035" s="359">
        <v>1000</v>
      </c>
      <c r="F2035" s="463">
        <f t="shared" si="24"/>
        <v>1.7827155035636482</v>
      </c>
      <c r="G2035" s="464">
        <v>560.94200000000001</v>
      </c>
      <c r="H2035" s="465" t="s">
        <v>152</v>
      </c>
      <c r="I2035" s="469" t="s">
        <v>2868</v>
      </c>
      <c r="J2035" s="247" t="s">
        <v>97</v>
      </c>
      <c r="K2035" s="247" t="s">
        <v>1903</v>
      </c>
      <c r="L2035" s="247" t="s">
        <v>154</v>
      </c>
      <c r="M2035" s="335"/>
      <c r="N2035" s="335"/>
    </row>
    <row r="2036" spans="1:14" ht="15.6">
      <c r="A2036" s="471">
        <v>45902</v>
      </c>
      <c r="B2036" s="247" t="s">
        <v>2159</v>
      </c>
      <c r="C2036" s="469" t="s">
        <v>122</v>
      </c>
      <c r="D2036" s="469" t="s">
        <v>116</v>
      </c>
      <c r="E2036" s="468">
        <v>113500</v>
      </c>
      <c r="F2036" s="463">
        <f t="shared" si="24"/>
        <v>202.33820965447407</v>
      </c>
      <c r="G2036" s="464">
        <v>560.94200000000001</v>
      </c>
      <c r="H2036" s="469" t="s">
        <v>583</v>
      </c>
      <c r="I2036" s="247" t="s">
        <v>2975</v>
      </c>
      <c r="J2036" s="247" t="s">
        <v>97</v>
      </c>
      <c r="K2036" s="247" t="s">
        <v>1903</v>
      </c>
      <c r="L2036" s="247" t="s">
        <v>154</v>
      </c>
      <c r="M2036" s="414"/>
      <c r="N2036" s="414"/>
    </row>
    <row r="2037" spans="1:14" ht="15.6">
      <c r="A2037" s="476">
        <v>45902</v>
      </c>
      <c r="B2037" s="469" t="s">
        <v>3306</v>
      </c>
      <c r="C2037" s="469" t="s">
        <v>173</v>
      </c>
      <c r="D2037" s="469" t="s">
        <v>116</v>
      </c>
      <c r="E2037" s="470">
        <v>500</v>
      </c>
      <c r="F2037" s="463">
        <f t="shared" si="24"/>
        <v>0.89135775178182408</v>
      </c>
      <c r="G2037" s="464">
        <v>560.94200000000001</v>
      </c>
      <c r="H2037" s="469" t="s">
        <v>189</v>
      </c>
      <c r="I2037" s="469" t="s">
        <v>3324</v>
      </c>
      <c r="J2037" s="247" t="s">
        <v>97</v>
      </c>
      <c r="K2037" s="247" t="s">
        <v>1903</v>
      </c>
      <c r="L2037" s="247" t="s">
        <v>154</v>
      </c>
      <c r="M2037" s="335"/>
      <c r="N2037" s="335"/>
    </row>
    <row r="2038" spans="1:14" ht="15.6">
      <c r="A2038" s="476">
        <v>45902</v>
      </c>
      <c r="B2038" s="469" t="s">
        <v>2603</v>
      </c>
      <c r="C2038" s="469" t="s">
        <v>173</v>
      </c>
      <c r="D2038" s="469" t="s">
        <v>116</v>
      </c>
      <c r="E2038" s="470">
        <v>500</v>
      </c>
      <c r="F2038" s="463">
        <f t="shared" si="24"/>
        <v>0.89135775178182408</v>
      </c>
      <c r="G2038" s="464">
        <v>560.94200000000001</v>
      </c>
      <c r="H2038" s="469" t="s">
        <v>189</v>
      </c>
      <c r="I2038" s="469" t="s">
        <v>3324</v>
      </c>
      <c r="J2038" s="247" t="s">
        <v>97</v>
      </c>
      <c r="K2038" s="247" t="s">
        <v>1903</v>
      </c>
      <c r="L2038" s="247" t="s">
        <v>154</v>
      </c>
      <c r="M2038" s="335"/>
      <c r="N2038" s="335"/>
    </row>
    <row r="2039" spans="1:14" ht="15.6">
      <c r="A2039" s="476">
        <v>45902</v>
      </c>
      <c r="B2039" s="247" t="s">
        <v>3307</v>
      </c>
      <c r="C2039" s="469" t="s">
        <v>181</v>
      </c>
      <c r="D2039" s="469" t="s">
        <v>117</v>
      </c>
      <c r="E2039" s="468">
        <v>7950</v>
      </c>
      <c r="F2039" s="463">
        <f t="shared" si="24"/>
        <v>14.172588253331003</v>
      </c>
      <c r="G2039" s="464">
        <v>560.94200000000001</v>
      </c>
      <c r="H2039" s="469" t="s">
        <v>189</v>
      </c>
      <c r="I2039" s="247" t="s">
        <v>3325</v>
      </c>
      <c r="J2039" s="247" t="s">
        <v>97</v>
      </c>
      <c r="K2039" s="247" t="s">
        <v>1903</v>
      </c>
      <c r="L2039" s="247" t="s">
        <v>154</v>
      </c>
      <c r="M2039" s="335"/>
      <c r="N2039" s="335"/>
    </row>
    <row r="2040" spans="1:14" ht="15.6">
      <c r="A2040" s="471">
        <v>45902</v>
      </c>
      <c r="B2040" s="469" t="s">
        <v>3338</v>
      </c>
      <c r="C2040" s="469" t="s">
        <v>173</v>
      </c>
      <c r="D2040" s="469" t="s">
        <v>116</v>
      </c>
      <c r="E2040" s="470">
        <v>500</v>
      </c>
      <c r="F2040" s="463">
        <f t="shared" si="24"/>
        <v>0.89135775178182408</v>
      </c>
      <c r="G2040" s="464">
        <v>560.94200000000001</v>
      </c>
      <c r="H2040" s="247" t="s">
        <v>192</v>
      </c>
      <c r="I2040" s="469" t="s">
        <v>3360</v>
      </c>
      <c r="J2040" s="247" t="s">
        <v>97</v>
      </c>
      <c r="K2040" s="247" t="s">
        <v>1903</v>
      </c>
      <c r="L2040" s="247" t="s">
        <v>154</v>
      </c>
      <c r="M2040" s="127"/>
      <c r="N2040" s="127"/>
    </row>
    <row r="2041" spans="1:14" ht="15.6">
      <c r="A2041" s="471">
        <v>45902</v>
      </c>
      <c r="B2041" s="469" t="s">
        <v>3339</v>
      </c>
      <c r="C2041" s="472" t="s">
        <v>173</v>
      </c>
      <c r="D2041" s="469" t="s">
        <v>116</v>
      </c>
      <c r="E2041" s="470">
        <v>500</v>
      </c>
      <c r="F2041" s="463">
        <f t="shared" si="24"/>
        <v>0.89135775178182408</v>
      </c>
      <c r="G2041" s="464">
        <v>560.94200000000001</v>
      </c>
      <c r="H2041" s="247" t="s">
        <v>192</v>
      </c>
      <c r="I2041" s="469" t="s">
        <v>3360</v>
      </c>
      <c r="J2041" s="247" t="s">
        <v>97</v>
      </c>
      <c r="K2041" s="247" t="s">
        <v>1903</v>
      </c>
      <c r="L2041" s="247" t="s">
        <v>154</v>
      </c>
      <c r="M2041" s="127"/>
      <c r="N2041" s="127"/>
    </row>
    <row r="2042" spans="1:14" ht="15.6">
      <c r="A2042" s="461">
        <v>45902</v>
      </c>
      <c r="B2042" s="469" t="s">
        <v>2696</v>
      </c>
      <c r="C2042" s="359" t="s">
        <v>195</v>
      </c>
      <c r="D2042" s="359" t="s">
        <v>116</v>
      </c>
      <c r="E2042" s="472">
        <v>500</v>
      </c>
      <c r="F2042" s="463">
        <f t="shared" si="24"/>
        <v>0.89135775178182408</v>
      </c>
      <c r="G2042" s="464">
        <v>560.94200000000001</v>
      </c>
      <c r="H2042" s="256" t="s">
        <v>196</v>
      </c>
      <c r="I2042" s="469" t="s">
        <v>3411</v>
      </c>
      <c r="J2042" s="247" t="s">
        <v>97</v>
      </c>
      <c r="K2042" s="247" t="s">
        <v>1903</v>
      </c>
      <c r="L2042" s="247" t="s">
        <v>154</v>
      </c>
      <c r="M2042" s="76"/>
      <c r="N2042" s="76"/>
    </row>
    <row r="2043" spans="1:14" ht="15.6">
      <c r="A2043" s="461">
        <v>45904</v>
      </c>
      <c r="B2043" s="469" t="s">
        <v>3381</v>
      </c>
      <c r="C2043" s="359" t="s">
        <v>195</v>
      </c>
      <c r="D2043" s="359" t="s">
        <v>116</v>
      </c>
      <c r="E2043" s="472">
        <v>500</v>
      </c>
      <c r="F2043" s="463">
        <f t="shared" si="24"/>
        <v>0.93720185266062228</v>
      </c>
      <c r="G2043" s="464">
        <v>533.50300000000004</v>
      </c>
      <c r="H2043" s="256" t="s">
        <v>196</v>
      </c>
      <c r="I2043" s="469" t="s">
        <v>3411</v>
      </c>
      <c r="J2043" s="247" t="s">
        <v>97</v>
      </c>
      <c r="K2043" s="247" t="s">
        <v>1133</v>
      </c>
      <c r="L2043" s="247" t="s">
        <v>154</v>
      </c>
      <c r="M2043" s="76"/>
      <c r="N2043" s="76"/>
    </row>
    <row r="2044" spans="1:14" ht="15.6">
      <c r="A2044" s="476">
        <v>45902</v>
      </c>
      <c r="B2044" s="469" t="s">
        <v>3640</v>
      </c>
      <c r="C2044" s="469" t="s">
        <v>176</v>
      </c>
      <c r="D2044" s="469" t="s">
        <v>119</v>
      </c>
      <c r="E2044" s="472">
        <v>15000</v>
      </c>
      <c r="F2044" s="463">
        <f t="shared" si="24"/>
        <v>26.740732553454723</v>
      </c>
      <c r="G2044" s="464">
        <v>560.94200000000001</v>
      </c>
      <c r="H2044" s="469" t="s">
        <v>212</v>
      </c>
      <c r="I2044" s="469" t="s">
        <v>3472</v>
      </c>
      <c r="J2044" s="247" t="s">
        <v>97</v>
      </c>
      <c r="K2044" s="247" t="s">
        <v>1903</v>
      </c>
      <c r="L2044" s="247" t="s">
        <v>154</v>
      </c>
      <c r="M2044" s="76"/>
      <c r="N2044" s="76"/>
    </row>
    <row r="2045" spans="1:14" ht="15.6">
      <c r="A2045" s="476">
        <v>45902</v>
      </c>
      <c r="B2045" s="484" t="s">
        <v>3579</v>
      </c>
      <c r="C2045" s="469" t="s">
        <v>126</v>
      </c>
      <c r="D2045" s="179" t="s">
        <v>442</v>
      </c>
      <c r="E2045" s="470">
        <v>450000</v>
      </c>
      <c r="F2045" s="463">
        <f t="shared" si="24"/>
        <v>802.22197660364168</v>
      </c>
      <c r="G2045" s="464">
        <v>560.94200000000001</v>
      </c>
      <c r="H2045" s="466" t="s">
        <v>147</v>
      </c>
      <c r="I2045" s="466" t="s">
        <v>3593</v>
      </c>
      <c r="J2045" s="247" t="s">
        <v>97</v>
      </c>
      <c r="K2045" s="247" t="s">
        <v>1903</v>
      </c>
      <c r="L2045" s="247" t="s">
        <v>154</v>
      </c>
      <c r="M2045" s="76"/>
      <c r="N2045" s="76"/>
    </row>
    <row r="2046" spans="1:14" ht="15.6">
      <c r="A2046" s="476">
        <v>45902</v>
      </c>
      <c r="B2046" s="484" t="s">
        <v>3580</v>
      </c>
      <c r="C2046" s="469" t="s">
        <v>126</v>
      </c>
      <c r="D2046" s="179" t="s">
        <v>442</v>
      </c>
      <c r="E2046" s="470">
        <v>375000</v>
      </c>
      <c r="F2046" s="463">
        <f t="shared" si="24"/>
        <v>668.51831383636807</v>
      </c>
      <c r="G2046" s="464">
        <v>560.94200000000001</v>
      </c>
      <c r="H2046" s="466" t="s">
        <v>147</v>
      </c>
      <c r="I2046" s="466" t="s">
        <v>3594</v>
      </c>
      <c r="J2046" s="247" t="s">
        <v>97</v>
      </c>
      <c r="K2046" s="247" t="s">
        <v>1903</v>
      </c>
      <c r="L2046" s="247" t="s">
        <v>154</v>
      </c>
      <c r="M2046" s="76"/>
      <c r="N2046" s="76"/>
    </row>
    <row r="2047" spans="1:14" ht="15.6">
      <c r="A2047" s="476">
        <v>45903</v>
      </c>
      <c r="B2047" s="359" t="s">
        <v>2100</v>
      </c>
      <c r="C2047" s="462" t="s">
        <v>173</v>
      </c>
      <c r="D2047" s="462" t="s">
        <v>118</v>
      </c>
      <c r="E2047" s="359">
        <v>1000</v>
      </c>
      <c r="F2047" s="463">
        <f t="shared" si="24"/>
        <v>1.7827155035636482</v>
      </c>
      <c r="G2047" s="464">
        <v>560.94200000000001</v>
      </c>
      <c r="H2047" s="465" t="s">
        <v>152</v>
      </c>
      <c r="I2047" s="469" t="s">
        <v>2868</v>
      </c>
      <c r="J2047" s="247" t="s">
        <v>97</v>
      </c>
      <c r="K2047" s="247" t="s">
        <v>1903</v>
      </c>
      <c r="L2047" s="247" t="s">
        <v>154</v>
      </c>
      <c r="M2047" s="414"/>
      <c r="N2047" s="414"/>
    </row>
    <row r="2048" spans="1:14" ht="15.6">
      <c r="A2048" s="476">
        <v>45903</v>
      </c>
      <c r="B2048" s="359" t="s">
        <v>2113</v>
      </c>
      <c r="C2048" s="462" t="s">
        <v>173</v>
      </c>
      <c r="D2048" s="462" t="s">
        <v>118</v>
      </c>
      <c r="E2048" s="359">
        <v>1000</v>
      </c>
      <c r="F2048" s="463">
        <f t="shared" si="24"/>
        <v>1.7827155035636482</v>
      </c>
      <c r="G2048" s="464">
        <v>560.94200000000001</v>
      </c>
      <c r="H2048" s="465" t="s">
        <v>152</v>
      </c>
      <c r="I2048" s="469" t="s">
        <v>2868</v>
      </c>
      <c r="J2048" s="247" t="s">
        <v>97</v>
      </c>
      <c r="K2048" s="247" t="s">
        <v>1903</v>
      </c>
      <c r="L2048" s="247" t="s">
        <v>154</v>
      </c>
      <c r="M2048" s="335"/>
      <c r="N2048" s="335"/>
    </row>
    <row r="2049" spans="1:14" ht="15.6">
      <c r="A2049" s="474">
        <v>45903</v>
      </c>
      <c r="B2049" s="475" t="s">
        <v>3775</v>
      </c>
      <c r="C2049" s="475" t="s">
        <v>173</v>
      </c>
      <c r="D2049" s="179" t="s">
        <v>442</v>
      </c>
      <c r="E2049" s="475">
        <v>9000</v>
      </c>
      <c r="F2049" s="463">
        <f t="shared" si="24"/>
        <v>16.044439532072836</v>
      </c>
      <c r="G2049" s="464">
        <v>560.94200000000001</v>
      </c>
      <c r="H2049" s="475" t="s">
        <v>183</v>
      </c>
      <c r="I2049" s="475" t="s">
        <v>3090</v>
      </c>
      <c r="J2049" s="247" t="s">
        <v>97</v>
      </c>
      <c r="K2049" s="247" t="s">
        <v>1903</v>
      </c>
      <c r="L2049" s="247" t="s">
        <v>154</v>
      </c>
      <c r="M2049" s="335"/>
      <c r="N2049" s="335"/>
    </row>
    <row r="2050" spans="1:14" ht="15.6">
      <c r="A2050" s="474">
        <v>45903</v>
      </c>
      <c r="B2050" s="475" t="s">
        <v>3816</v>
      </c>
      <c r="C2050" s="475" t="s">
        <v>173</v>
      </c>
      <c r="D2050" s="179" t="s">
        <v>442</v>
      </c>
      <c r="E2050" s="475">
        <v>1000</v>
      </c>
      <c r="F2050" s="463">
        <f t="shared" si="24"/>
        <v>1.7827155035636482</v>
      </c>
      <c r="G2050" s="464">
        <v>560.94200000000001</v>
      </c>
      <c r="H2050" s="475" t="s">
        <v>183</v>
      </c>
      <c r="I2050" s="475" t="s">
        <v>3086</v>
      </c>
      <c r="J2050" s="247" t="s">
        <v>97</v>
      </c>
      <c r="K2050" s="247" t="s">
        <v>1903</v>
      </c>
      <c r="L2050" s="247" t="s">
        <v>154</v>
      </c>
      <c r="M2050" s="335"/>
      <c r="N2050" s="335"/>
    </row>
    <row r="2051" spans="1:14" ht="15.6">
      <c r="A2051" s="474">
        <v>45903</v>
      </c>
      <c r="B2051" s="475" t="s">
        <v>2995</v>
      </c>
      <c r="C2051" s="475" t="s">
        <v>173</v>
      </c>
      <c r="D2051" s="179" t="s">
        <v>442</v>
      </c>
      <c r="E2051" s="475">
        <v>1500</v>
      </c>
      <c r="F2051" s="463">
        <f t="shared" si="24"/>
        <v>2.6740732553454722</v>
      </c>
      <c r="G2051" s="464">
        <v>560.94200000000001</v>
      </c>
      <c r="H2051" s="475" t="s">
        <v>183</v>
      </c>
      <c r="I2051" s="475" t="s">
        <v>3086</v>
      </c>
      <c r="J2051" s="247" t="s">
        <v>97</v>
      </c>
      <c r="K2051" s="247" t="s">
        <v>1903</v>
      </c>
      <c r="L2051" s="247" t="s">
        <v>154</v>
      </c>
      <c r="M2051" s="335"/>
      <c r="N2051" s="335"/>
    </row>
    <row r="2052" spans="1:14" ht="15.6">
      <c r="A2052" s="476">
        <v>45903</v>
      </c>
      <c r="B2052" s="469" t="s">
        <v>3907</v>
      </c>
      <c r="C2052" s="469" t="s">
        <v>173</v>
      </c>
      <c r="D2052" s="179" t="s">
        <v>442</v>
      </c>
      <c r="E2052" s="469">
        <v>1000</v>
      </c>
      <c r="F2052" s="463">
        <f t="shared" si="24"/>
        <v>1.7827155035636482</v>
      </c>
      <c r="G2052" s="464">
        <v>560.94200000000001</v>
      </c>
      <c r="H2052" s="469" t="s">
        <v>174</v>
      </c>
      <c r="I2052" s="469" t="s">
        <v>3196</v>
      </c>
      <c r="J2052" s="247" t="s">
        <v>97</v>
      </c>
      <c r="K2052" s="247" t="s">
        <v>1903</v>
      </c>
      <c r="L2052" s="247" t="s">
        <v>154</v>
      </c>
      <c r="M2052" s="335"/>
      <c r="N2052" s="335"/>
    </row>
    <row r="2053" spans="1:14" ht="15.6">
      <c r="A2053" s="476">
        <v>45903</v>
      </c>
      <c r="B2053" s="469" t="s">
        <v>3908</v>
      </c>
      <c r="C2053" s="469" t="s">
        <v>173</v>
      </c>
      <c r="D2053" s="179" t="s">
        <v>442</v>
      </c>
      <c r="E2053" s="469">
        <v>1000</v>
      </c>
      <c r="F2053" s="463">
        <f t="shared" si="24"/>
        <v>1.7827155035636482</v>
      </c>
      <c r="G2053" s="464">
        <v>560.94200000000001</v>
      </c>
      <c r="H2053" s="469" t="s">
        <v>174</v>
      </c>
      <c r="I2053" s="469" t="s">
        <v>3196</v>
      </c>
      <c r="J2053" s="247" t="s">
        <v>97</v>
      </c>
      <c r="K2053" s="247" t="s">
        <v>1903</v>
      </c>
      <c r="L2053" s="247" t="s">
        <v>154</v>
      </c>
      <c r="M2053" s="335"/>
      <c r="N2053" s="335"/>
    </row>
    <row r="2054" spans="1:14" ht="15.6">
      <c r="A2054" s="476">
        <v>45903</v>
      </c>
      <c r="B2054" s="469" t="s">
        <v>3878</v>
      </c>
      <c r="C2054" s="469" t="s">
        <v>173</v>
      </c>
      <c r="D2054" s="179" t="s">
        <v>442</v>
      </c>
      <c r="E2054" s="469">
        <v>9000</v>
      </c>
      <c r="F2054" s="463">
        <f t="shared" si="24"/>
        <v>16.044439532072836</v>
      </c>
      <c r="G2054" s="464">
        <v>560.94200000000001</v>
      </c>
      <c r="H2054" s="469" t="s">
        <v>174</v>
      </c>
      <c r="I2054" s="469" t="s">
        <v>3197</v>
      </c>
      <c r="J2054" s="247" t="s">
        <v>97</v>
      </c>
      <c r="K2054" s="247" t="s">
        <v>1903</v>
      </c>
      <c r="L2054" s="247" t="s">
        <v>154</v>
      </c>
      <c r="M2054" s="414"/>
      <c r="N2054" s="414"/>
    </row>
    <row r="2055" spans="1:14" ht="15.6">
      <c r="A2055" s="471">
        <v>45903</v>
      </c>
      <c r="B2055" s="469" t="s">
        <v>3114</v>
      </c>
      <c r="C2055" s="469" t="s">
        <v>307</v>
      </c>
      <c r="D2055" s="179" t="s">
        <v>442</v>
      </c>
      <c r="E2055" s="469">
        <v>10000</v>
      </c>
      <c r="F2055" s="463">
        <f t="shared" si="24"/>
        <v>17.827155035636483</v>
      </c>
      <c r="G2055" s="464">
        <v>560.94200000000001</v>
      </c>
      <c r="H2055" s="469" t="s">
        <v>174</v>
      </c>
      <c r="I2055" s="247" t="s">
        <v>3198</v>
      </c>
      <c r="J2055" s="247" t="s">
        <v>97</v>
      </c>
      <c r="K2055" s="247" t="s">
        <v>1903</v>
      </c>
      <c r="L2055" s="247" t="s">
        <v>154</v>
      </c>
      <c r="M2055" s="414"/>
      <c r="N2055" s="414"/>
    </row>
    <row r="2056" spans="1:14" ht="15.6">
      <c r="A2056" s="476">
        <v>45903</v>
      </c>
      <c r="B2056" s="469" t="s">
        <v>3733</v>
      </c>
      <c r="C2056" s="469" t="s">
        <v>173</v>
      </c>
      <c r="D2056" s="179" t="s">
        <v>442</v>
      </c>
      <c r="E2056" s="469">
        <v>1000</v>
      </c>
      <c r="F2056" s="463">
        <f t="shared" si="24"/>
        <v>1.7827155035636482</v>
      </c>
      <c r="G2056" s="464">
        <v>560.94200000000001</v>
      </c>
      <c r="H2056" s="469" t="s">
        <v>316</v>
      </c>
      <c r="I2056" s="469" t="s">
        <v>3260</v>
      </c>
      <c r="J2056" s="247" t="s">
        <v>97</v>
      </c>
      <c r="K2056" s="247" t="s">
        <v>1903</v>
      </c>
      <c r="L2056" s="247" t="s">
        <v>154</v>
      </c>
      <c r="M2056" s="414"/>
      <c r="N2056" s="414"/>
    </row>
    <row r="2057" spans="1:14" ht="15.6">
      <c r="A2057" s="476">
        <v>45903</v>
      </c>
      <c r="B2057" s="469" t="s">
        <v>3689</v>
      </c>
      <c r="C2057" s="469" t="s">
        <v>173</v>
      </c>
      <c r="D2057" s="179" t="s">
        <v>442</v>
      </c>
      <c r="E2057" s="469">
        <v>7000</v>
      </c>
      <c r="F2057" s="463">
        <f t="shared" si="24"/>
        <v>12.479008524945538</v>
      </c>
      <c r="G2057" s="464">
        <v>560.94200000000001</v>
      </c>
      <c r="H2057" s="469" t="s">
        <v>316</v>
      </c>
      <c r="I2057" s="247" t="s">
        <v>3261</v>
      </c>
      <c r="J2057" s="247" t="s">
        <v>97</v>
      </c>
      <c r="K2057" s="247" t="s">
        <v>1903</v>
      </c>
      <c r="L2057" s="247" t="s">
        <v>154</v>
      </c>
      <c r="M2057" s="414"/>
      <c r="N2057" s="414"/>
    </row>
    <row r="2058" spans="1:14" ht="15.6">
      <c r="A2058" s="476">
        <v>45903</v>
      </c>
      <c r="B2058" s="469" t="s">
        <v>3734</v>
      </c>
      <c r="C2058" s="469" t="s">
        <v>173</v>
      </c>
      <c r="D2058" s="179" t="s">
        <v>442</v>
      </c>
      <c r="E2058" s="469">
        <v>2000</v>
      </c>
      <c r="F2058" s="463">
        <f t="shared" si="24"/>
        <v>3.5654310071272963</v>
      </c>
      <c r="G2058" s="464">
        <v>560.94200000000001</v>
      </c>
      <c r="H2058" s="469" t="s">
        <v>316</v>
      </c>
      <c r="I2058" s="469" t="s">
        <v>3260</v>
      </c>
      <c r="J2058" s="247" t="s">
        <v>97</v>
      </c>
      <c r="K2058" s="247" t="s">
        <v>1903</v>
      </c>
      <c r="L2058" s="247" t="s">
        <v>154</v>
      </c>
      <c r="M2058" s="414"/>
      <c r="N2058" s="414"/>
    </row>
    <row r="2059" spans="1:14" ht="15.6">
      <c r="A2059" s="476">
        <v>45903</v>
      </c>
      <c r="B2059" s="469" t="s">
        <v>3639</v>
      </c>
      <c r="C2059" s="469" t="s">
        <v>176</v>
      </c>
      <c r="D2059" s="469" t="s">
        <v>119</v>
      </c>
      <c r="E2059" s="472">
        <v>15000</v>
      </c>
      <c r="F2059" s="463">
        <f t="shared" si="24"/>
        <v>26.740732553454723</v>
      </c>
      <c r="G2059" s="464">
        <v>560.94200000000001</v>
      </c>
      <c r="H2059" s="469" t="s">
        <v>212</v>
      </c>
      <c r="I2059" s="469" t="s">
        <v>3473</v>
      </c>
      <c r="J2059" s="247" t="s">
        <v>97</v>
      </c>
      <c r="K2059" s="247" t="s">
        <v>1903</v>
      </c>
      <c r="L2059" s="247" t="s">
        <v>154</v>
      </c>
      <c r="M2059" s="76"/>
      <c r="N2059" s="76"/>
    </row>
    <row r="2060" spans="1:14" ht="15.6">
      <c r="A2060" s="476">
        <v>45903</v>
      </c>
      <c r="B2060" s="469" t="s">
        <v>3430</v>
      </c>
      <c r="C2060" s="469" t="s">
        <v>173</v>
      </c>
      <c r="D2060" s="469" t="s">
        <v>119</v>
      </c>
      <c r="E2060" s="472">
        <v>3000</v>
      </c>
      <c r="F2060" s="463">
        <f t="shared" si="24"/>
        <v>5.3481465106909445</v>
      </c>
      <c r="G2060" s="464">
        <v>560.94200000000001</v>
      </c>
      <c r="H2060" s="469" t="s">
        <v>212</v>
      </c>
      <c r="I2060" s="469" t="s">
        <v>3470</v>
      </c>
      <c r="J2060" s="247" t="s">
        <v>97</v>
      </c>
      <c r="K2060" s="247" t="s">
        <v>1903</v>
      </c>
      <c r="L2060" s="247" t="s">
        <v>154</v>
      </c>
      <c r="M2060" s="76"/>
      <c r="N2060" s="76"/>
    </row>
    <row r="2061" spans="1:14" ht="15.6">
      <c r="A2061" s="476">
        <v>45903</v>
      </c>
      <c r="B2061" s="469" t="s">
        <v>3581</v>
      </c>
      <c r="C2061" s="469" t="s">
        <v>303</v>
      </c>
      <c r="D2061" s="486" t="s">
        <v>117</v>
      </c>
      <c r="E2061" s="470">
        <v>260000</v>
      </c>
      <c r="F2061" s="463">
        <f t="shared" si="24"/>
        <v>463.50603092654853</v>
      </c>
      <c r="G2061" s="464">
        <v>560.94200000000001</v>
      </c>
      <c r="H2061" s="466" t="s">
        <v>147</v>
      </c>
      <c r="I2061" s="466" t="s">
        <v>3595</v>
      </c>
      <c r="J2061" s="247" t="s">
        <v>97</v>
      </c>
      <c r="K2061" s="247" t="s">
        <v>1903</v>
      </c>
      <c r="L2061" s="247" t="s">
        <v>154</v>
      </c>
      <c r="M2061" s="76"/>
      <c r="N2061" s="76"/>
    </row>
    <row r="2062" spans="1:14" ht="15.6">
      <c r="A2062" s="476">
        <v>45903</v>
      </c>
      <c r="B2062" s="487" t="s">
        <v>2778</v>
      </c>
      <c r="C2062" s="247" t="s">
        <v>125</v>
      </c>
      <c r="D2062" s="486" t="s">
        <v>117</v>
      </c>
      <c r="E2062" s="470">
        <v>500000</v>
      </c>
      <c r="F2062" s="463">
        <f t="shared" si="24"/>
        <v>891.35775178182416</v>
      </c>
      <c r="G2062" s="464">
        <v>560.94200000000001</v>
      </c>
      <c r="H2062" s="479" t="s">
        <v>147</v>
      </c>
      <c r="I2062" s="466" t="s">
        <v>3596</v>
      </c>
      <c r="J2062" s="247" t="s">
        <v>97</v>
      </c>
      <c r="K2062" s="247" t="s">
        <v>1903</v>
      </c>
      <c r="L2062" s="247" t="s">
        <v>154</v>
      </c>
      <c r="M2062" s="76"/>
      <c r="N2062" s="76"/>
    </row>
    <row r="2063" spans="1:14" ht="15.6">
      <c r="A2063" s="476">
        <v>45904</v>
      </c>
      <c r="B2063" s="359" t="s">
        <v>2100</v>
      </c>
      <c r="C2063" s="462" t="s">
        <v>173</v>
      </c>
      <c r="D2063" s="462" t="s">
        <v>118</v>
      </c>
      <c r="E2063" s="359">
        <v>1000</v>
      </c>
      <c r="F2063" s="463">
        <f t="shared" si="24"/>
        <v>1.8744037053212446</v>
      </c>
      <c r="G2063" s="464">
        <v>533.50300000000004</v>
      </c>
      <c r="H2063" s="465" t="s">
        <v>152</v>
      </c>
      <c r="I2063" s="469" t="s">
        <v>2868</v>
      </c>
      <c r="J2063" s="247" t="s">
        <v>97</v>
      </c>
      <c r="K2063" s="247" t="s">
        <v>1133</v>
      </c>
      <c r="L2063" s="247" t="s">
        <v>154</v>
      </c>
      <c r="M2063" s="335"/>
      <c r="N2063" s="335"/>
    </row>
    <row r="2064" spans="1:14" ht="15.6">
      <c r="A2064" s="476">
        <v>45904</v>
      </c>
      <c r="B2064" s="359" t="s">
        <v>2101</v>
      </c>
      <c r="C2064" s="462" t="s">
        <v>173</v>
      </c>
      <c r="D2064" s="462" t="s">
        <v>118</v>
      </c>
      <c r="E2064" s="359">
        <v>1000</v>
      </c>
      <c r="F2064" s="463">
        <f t="shared" si="24"/>
        <v>1.8744037053212446</v>
      </c>
      <c r="G2064" s="464">
        <v>533.50300000000004</v>
      </c>
      <c r="H2064" s="465" t="s">
        <v>152</v>
      </c>
      <c r="I2064" s="469" t="s">
        <v>2868</v>
      </c>
      <c r="J2064" s="247" t="s">
        <v>97</v>
      </c>
      <c r="K2064" s="247" t="s">
        <v>1133</v>
      </c>
      <c r="L2064" s="247" t="s">
        <v>154</v>
      </c>
      <c r="M2064" s="335"/>
      <c r="N2064" s="335"/>
    </row>
    <row r="2065" spans="1:14" ht="15.6">
      <c r="A2065" s="474">
        <v>45904</v>
      </c>
      <c r="B2065" s="475" t="s">
        <v>3774</v>
      </c>
      <c r="C2065" s="475" t="s">
        <v>176</v>
      </c>
      <c r="D2065" s="179" t="s">
        <v>442</v>
      </c>
      <c r="E2065" s="475">
        <v>310000</v>
      </c>
      <c r="F2065" s="463">
        <f t="shared" si="24"/>
        <v>581.06514864958581</v>
      </c>
      <c r="G2065" s="464">
        <v>533.50300000000004</v>
      </c>
      <c r="H2065" s="475" t="s">
        <v>183</v>
      </c>
      <c r="I2065" s="475" t="s">
        <v>3091</v>
      </c>
      <c r="J2065" s="247" t="s">
        <v>97</v>
      </c>
      <c r="K2065" s="247" t="s">
        <v>1133</v>
      </c>
      <c r="L2065" s="247" t="s">
        <v>154</v>
      </c>
      <c r="M2065" s="335"/>
      <c r="N2065" s="335"/>
    </row>
    <row r="2066" spans="1:14" ht="15.6">
      <c r="A2066" s="474">
        <v>45904</v>
      </c>
      <c r="B2066" s="475" t="s">
        <v>3817</v>
      </c>
      <c r="C2066" s="475" t="s">
        <v>173</v>
      </c>
      <c r="D2066" s="179" t="s">
        <v>442</v>
      </c>
      <c r="E2066" s="475">
        <v>1000</v>
      </c>
      <c r="F2066" s="463">
        <f t="shared" si="24"/>
        <v>1.8744037053212446</v>
      </c>
      <c r="G2066" s="464">
        <v>533.50300000000004</v>
      </c>
      <c r="H2066" s="475" t="s">
        <v>183</v>
      </c>
      <c r="I2066" s="475" t="s">
        <v>3086</v>
      </c>
      <c r="J2066" s="247" t="s">
        <v>97</v>
      </c>
      <c r="K2066" s="247" t="s">
        <v>1133</v>
      </c>
      <c r="L2066" s="247" t="s">
        <v>154</v>
      </c>
      <c r="M2066" s="335"/>
      <c r="N2066" s="335"/>
    </row>
    <row r="2067" spans="1:14" ht="15.6">
      <c r="A2067" s="474">
        <v>45904</v>
      </c>
      <c r="B2067" s="475" t="s">
        <v>3818</v>
      </c>
      <c r="C2067" s="475" t="s">
        <v>173</v>
      </c>
      <c r="D2067" s="179" t="s">
        <v>442</v>
      </c>
      <c r="E2067" s="475">
        <v>1000</v>
      </c>
      <c r="F2067" s="463">
        <f t="shared" si="24"/>
        <v>1.8744037053212446</v>
      </c>
      <c r="G2067" s="464">
        <v>533.50300000000004</v>
      </c>
      <c r="H2067" s="475" t="s">
        <v>183</v>
      </c>
      <c r="I2067" s="475" t="s">
        <v>3086</v>
      </c>
      <c r="J2067" s="247" t="s">
        <v>97</v>
      </c>
      <c r="K2067" s="247" t="s">
        <v>1133</v>
      </c>
      <c r="L2067" s="247" t="s">
        <v>154</v>
      </c>
      <c r="M2067" s="335"/>
      <c r="N2067" s="335"/>
    </row>
    <row r="2068" spans="1:14" ht="15.6">
      <c r="A2068" s="474">
        <v>45904</v>
      </c>
      <c r="B2068" s="475" t="s">
        <v>3779</v>
      </c>
      <c r="C2068" s="475" t="s">
        <v>173</v>
      </c>
      <c r="D2068" s="179" t="s">
        <v>442</v>
      </c>
      <c r="E2068" s="475">
        <v>1000</v>
      </c>
      <c r="F2068" s="463">
        <f t="shared" si="24"/>
        <v>1.8744037053212446</v>
      </c>
      <c r="G2068" s="464">
        <v>533.50300000000004</v>
      </c>
      <c r="H2068" s="475" t="s">
        <v>183</v>
      </c>
      <c r="I2068" s="475" t="s">
        <v>3086</v>
      </c>
      <c r="J2068" s="247" t="s">
        <v>97</v>
      </c>
      <c r="K2068" s="247" t="s">
        <v>1133</v>
      </c>
      <c r="L2068" s="247" t="s">
        <v>154</v>
      </c>
      <c r="M2068" s="335"/>
      <c r="N2068" s="335"/>
    </row>
    <row r="2069" spans="1:14" ht="15.6">
      <c r="A2069" s="474">
        <v>45904</v>
      </c>
      <c r="B2069" s="475" t="s">
        <v>3819</v>
      </c>
      <c r="C2069" s="475" t="s">
        <v>173</v>
      </c>
      <c r="D2069" s="179" t="s">
        <v>442</v>
      </c>
      <c r="E2069" s="475">
        <v>1000</v>
      </c>
      <c r="F2069" s="463">
        <f t="shared" si="24"/>
        <v>1.8744037053212446</v>
      </c>
      <c r="G2069" s="464">
        <v>533.50300000000004</v>
      </c>
      <c r="H2069" s="475" t="s">
        <v>183</v>
      </c>
      <c r="I2069" s="475" t="s">
        <v>3086</v>
      </c>
      <c r="J2069" s="247" t="s">
        <v>97</v>
      </c>
      <c r="K2069" s="247" t="s">
        <v>1133</v>
      </c>
      <c r="L2069" s="247" t="s">
        <v>154</v>
      </c>
      <c r="M2069" s="335"/>
      <c r="N2069" s="335"/>
    </row>
    <row r="2070" spans="1:14" ht="15.6">
      <c r="A2070" s="476">
        <v>45904</v>
      </c>
      <c r="B2070" s="469" t="s">
        <v>3909</v>
      </c>
      <c r="C2070" s="469" t="s">
        <v>2391</v>
      </c>
      <c r="D2070" s="179" t="s">
        <v>442</v>
      </c>
      <c r="E2070" s="469">
        <v>310000</v>
      </c>
      <c r="F2070" s="463">
        <f t="shared" si="24"/>
        <v>581.06514864958581</v>
      </c>
      <c r="G2070" s="464">
        <v>533.50300000000004</v>
      </c>
      <c r="H2070" s="469" t="s">
        <v>174</v>
      </c>
      <c r="I2070" s="469" t="s">
        <v>3199</v>
      </c>
      <c r="J2070" s="247" t="s">
        <v>97</v>
      </c>
      <c r="K2070" s="247" t="s">
        <v>1133</v>
      </c>
      <c r="L2070" s="247" t="s">
        <v>154</v>
      </c>
      <c r="M2070" s="414"/>
      <c r="N2070" s="414"/>
    </row>
    <row r="2071" spans="1:14" ht="15.6">
      <c r="A2071" s="476">
        <v>45904</v>
      </c>
      <c r="B2071" s="469" t="s">
        <v>3910</v>
      </c>
      <c r="C2071" s="469" t="s">
        <v>173</v>
      </c>
      <c r="D2071" s="179" t="s">
        <v>442</v>
      </c>
      <c r="E2071" s="469">
        <v>1000</v>
      </c>
      <c r="F2071" s="463">
        <f t="shared" si="24"/>
        <v>1.8744037053212446</v>
      </c>
      <c r="G2071" s="464">
        <v>533.50300000000004</v>
      </c>
      <c r="H2071" s="469" t="s">
        <v>174</v>
      </c>
      <c r="I2071" s="469" t="s">
        <v>3196</v>
      </c>
      <c r="J2071" s="247" t="s">
        <v>97</v>
      </c>
      <c r="K2071" s="247" t="s">
        <v>1133</v>
      </c>
      <c r="L2071" s="247" t="s">
        <v>154</v>
      </c>
      <c r="M2071" s="414"/>
      <c r="N2071" s="414"/>
    </row>
    <row r="2072" spans="1:14" ht="15.6">
      <c r="A2072" s="476">
        <v>45904</v>
      </c>
      <c r="B2072" s="469" t="s">
        <v>3911</v>
      </c>
      <c r="C2072" s="469" t="s">
        <v>173</v>
      </c>
      <c r="D2072" s="179" t="s">
        <v>442</v>
      </c>
      <c r="E2072" s="469">
        <v>1000</v>
      </c>
      <c r="F2072" s="463">
        <f t="shared" si="24"/>
        <v>1.8744037053212446</v>
      </c>
      <c r="G2072" s="464">
        <v>533.50300000000004</v>
      </c>
      <c r="H2072" s="469" t="s">
        <v>174</v>
      </c>
      <c r="I2072" s="469" t="s">
        <v>3196</v>
      </c>
      <c r="J2072" s="247" t="s">
        <v>97</v>
      </c>
      <c r="K2072" s="247" t="s">
        <v>1133</v>
      </c>
      <c r="L2072" s="247" t="s">
        <v>154</v>
      </c>
      <c r="M2072" s="414"/>
      <c r="N2072" s="414"/>
    </row>
    <row r="2073" spans="1:14" ht="15.6">
      <c r="A2073" s="476">
        <v>45904</v>
      </c>
      <c r="B2073" s="469" t="s">
        <v>3711</v>
      </c>
      <c r="C2073" s="469" t="s">
        <v>176</v>
      </c>
      <c r="D2073" s="179" t="s">
        <v>442</v>
      </c>
      <c r="E2073" s="469">
        <v>60000</v>
      </c>
      <c r="F2073" s="463">
        <f t="shared" si="24"/>
        <v>112.46422231927467</v>
      </c>
      <c r="G2073" s="464">
        <v>533.50300000000004</v>
      </c>
      <c r="H2073" s="469" t="s">
        <v>316</v>
      </c>
      <c r="I2073" s="469" t="s">
        <v>3262</v>
      </c>
      <c r="J2073" s="247" t="s">
        <v>97</v>
      </c>
      <c r="K2073" s="247" t="s">
        <v>1133</v>
      </c>
      <c r="L2073" s="247" t="s">
        <v>154</v>
      </c>
      <c r="M2073" s="414"/>
      <c r="N2073" s="414"/>
    </row>
    <row r="2074" spans="1:14" ht="15.6">
      <c r="A2074" s="476">
        <v>45904</v>
      </c>
      <c r="B2074" s="469" t="s">
        <v>3735</v>
      </c>
      <c r="C2074" s="469" t="s">
        <v>173</v>
      </c>
      <c r="D2074" s="179" t="s">
        <v>442</v>
      </c>
      <c r="E2074" s="469">
        <v>2500</v>
      </c>
      <c r="F2074" s="463">
        <f t="shared" si="24"/>
        <v>4.6860092633031112</v>
      </c>
      <c r="G2074" s="464">
        <v>533.50300000000004</v>
      </c>
      <c r="H2074" s="469" t="s">
        <v>316</v>
      </c>
      <c r="I2074" s="469" t="s">
        <v>3260</v>
      </c>
      <c r="J2074" s="247" t="s">
        <v>97</v>
      </c>
      <c r="K2074" s="247" t="s">
        <v>1133</v>
      </c>
      <c r="L2074" s="247" t="s">
        <v>154</v>
      </c>
      <c r="M2074" s="335"/>
      <c r="N2074" s="335"/>
    </row>
    <row r="2075" spans="1:14" ht="15.6">
      <c r="A2075" s="476">
        <v>45904</v>
      </c>
      <c r="B2075" s="469" t="s">
        <v>3736</v>
      </c>
      <c r="C2075" s="469" t="s">
        <v>173</v>
      </c>
      <c r="D2075" s="179" t="s">
        <v>442</v>
      </c>
      <c r="E2075" s="469">
        <v>600</v>
      </c>
      <c r="F2075" s="463">
        <f t="shared" si="24"/>
        <v>1.1246422231927466</v>
      </c>
      <c r="G2075" s="464">
        <v>533.50300000000004</v>
      </c>
      <c r="H2075" s="469" t="s">
        <v>316</v>
      </c>
      <c r="I2075" s="469" t="s">
        <v>3260</v>
      </c>
      <c r="J2075" s="247" t="s">
        <v>97</v>
      </c>
      <c r="K2075" s="247" t="s">
        <v>1133</v>
      </c>
      <c r="L2075" s="247" t="s">
        <v>154</v>
      </c>
      <c r="M2075" s="335"/>
      <c r="N2075" s="335"/>
    </row>
    <row r="2076" spans="1:14" ht="15.6">
      <c r="A2076" s="461">
        <v>45904</v>
      </c>
      <c r="B2076" s="469" t="s">
        <v>3377</v>
      </c>
      <c r="C2076" s="359" t="s">
        <v>195</v>
      </c>
      <c r="D2076" s="359" t="s">
        <v>116</v>
      </c>
      <c r="E2076" s="472">
        <v>500</v>
      </c>
      <c r="F2076" s="463">
        <f t="shared" si="24"/>
        <v>0.93720185266062228</v>
      </c>
      <c r="G2076" s="464">
        <v>533.50300000000004</v>
      </c>
      <c r="H2076" s="256" t="s">
        <v>196</v>
      </c>
      <c r="I2076" s="469" t="s">
        <v>3411</v>
      </c>
      <c r="J2076" s="247" t="s">
        <v>97</v>
      </c>
      <c r="K2076" s="247" t="s">
        <v>1133</v>
      </c>
      <c r="L2076" s="247" t="s">
        <v>154</v>
      </c>
      <c r="M2076" s="76"/>
      <c r="N2076" s="76"/>
    </row>
    <row r="2077" spans="1:14" ht="15.6">
      <c r="A2077" s="461">
        <v>45905</v>
      </c>
      <c r="B2077" s="469" t="s">
        <v>3380</v>
      </c>
      <c r="C2077" s="359" t="s">
        <v>195</v>
      </c>
      <c r="D2077" s="359" t="s">
        <v>116</v>
      </c>
      <c r="E2077" s="472">
        <v>500</v>
      </c>
      <c r="F2077" s="463">
        <f t="shared" si="24"/>
        <v>0.93720185266062228</v>
      </c>
      <c r="G2077" s="464">
        <v>533.50300000000004</v>
      </c>
      <c r="H2077" s="256" t="s">
        <v>196</v>
      </c>
      <c r="I2077" s="469" t="s">
        <v>3411</v>
      </c>
      <c r="J2077" s="247" t="s">
        <v>97</v>
      </c>
      <c r="K2077" s="247" t="s">
        <v>1133</v>
      </c>
      <c r="L2077" s="247" t="s">
        <v>154</v>
      </c>
      <c r="M2077" s="76"/>
      <c r="N2077" s="76"/>
    </row>
    <row r="2078" spans="1:14" ht="15.6">
      <c r="A2078" s="476">
        <v>45904</v>
      </c>
      <c r="B2078" s="469" t="s">
        <v>2224</v>
      </c>
      <c r="C2078" s="469" t="s">
        <v>173</v>
      </c>
      <c r="D2078" s="469" t="s">
        <v>119</v>
      </c>
      <c r="E2078" s="472">
        <v>1000</v>
      </c>
      <c r="F2078" s="463">
        <f t="shared" si="24"/>
        <v>1.8744037053212446</v>
      </c>
      <c r="G2078" s="464">
        <v>533.50300000000004</v>
      </c>
      <c r="H2078" s="469" t="s">
        <v>212</v>
      </c>
      <c r="I2078" s="469" t="s">
        <v>3470</v>
      </c>
      <c r="J2078" s="247" t="s">
        <v>97</v>
      </c>
      <c r="K2078" s="247" t="s">
        <v>1133</v>
      </c>
      <c r="L2078" s="247" t="s">
        <v>154</v>
      </c>
      <c r="M2078" s="76"/>
      <c r="N2078" s="76"/>
    </row>
    <row r="2079" spans="1:14" ht="15.6">
      <c r="A2079" s="476">
        <v>45904</v>
      </c>
      <c r="B2079" s="469" t="s">
        <v>3432</v>
      </c>
      <c r="C2079" s="469" t="s">
        <v>173</v>
      </c>
      <c r="D2079" s="469" t="s">
        <v>119</v>
      </c>
      <c r="E2079" s="472">
        <v>1000</v>
      </c>
      <c r="F2079" s="463">
        <f t="shared" si="24"/>
        <v>1.8744037053212446</v>
      </c>
      <c r="G2079" s="464">
        <v>533.50300000000004</v>
      </c>
      <c r="H2079" s="469" t="s">
        <v>212</v>
      </c>
      <c r="I2079" s="469" t="s">
        <v>3470</v>
      </c>
      <c r="J2079" s="247" t="s">
        <v>97</v>
      </c>
      <c r="K2079" s="247" t="s">
        <v>1133</v>
      </c>
      <c r="L2079" s="247" t="s">
        <v>154</v>
      </c>
      <c r="M2079" s="76"/>
      <c r="N2079" s="76"/>
    </row>
    <row r="2080" spans="1:14" ht="15.6">
      <c r="A2080" s="476">
        <v>45904</v>
      </c>
      <c r="B2080" s="469" t="s">
        <v>3433</v>
      </c>
      <c r="C2080" s="469" t="s">
        <v>173</v>
      </c>
      <c r="D2080" s="469" t="s">
        <v>119</v>
      </c>
      <c r="E2080" s="472">
        <v>1000</v>
      </c>
      <c r="F2080" s="463">
        <f t="shared" si="24"/>
        <v>1.8744037053212446</v>
      </c>
      <c r="G2080" s="464">
        <v>533.50300000000004</v>
      </c>
      <c r="H2080" s="469" t="s">
        <v>212</v>
      </c>
      <c r="I2080" s="469" t="s">
        <v>3470</v>
      </c>
      <c r="J2080" s="247" t="s">
        <v>97</v>
      </c>
      <c r="K2080" s="247" t="s">
        <v>1133</v>
      </c>
      <c r="L2080" s="247" t="s">
        <v>154</v>
      </c>
      <c r="M2080" s="76"/>
      <c r="N2080" s="76"/>
    </row>
    <row r="2081" spans="1:14" ht="15.6">
      <c r="A2081" s="476">
        <v>45904</v>
      </c>
      <c r="B2081" s="469" t="s">
        <v>3434</v>
      </c>
      <c r="C2081" s="469" t="s">
        <v>173</v>
      </c>
      <c r="D2081" s="469" t="s">
        <v>119</v>
      </c>
      <c r="E2081" s="472">
        <v>1000</v>
      </c>
      <c r="F2081" s="463">
        <f t="shared" si="24"/>
        <v>1.8744037053212446</v>
      </c>
      <c r="G2081" s="464">
        <v>533.50300000000004</v>
      </c>
      <c r="H2081" s="469" t="s">
        <v>212</v>
      </c>
      <c r="I2081" s="469" t="s">
        <v>3470</v>
      </c>
      <c r="J2081" s="247" t="s">
        <v>97</v>
      </c>
      <c r="K2081" s="247" t="s">
        <v>1133</v>
      </c>
      <c r="L2081" s="247" t="s">
        <v>154</v>
      </c>
      <c r="M2081" s="76"/>
      <c r="N2081" s="76"/>
    </row>
    <row r="2082" spans="1:14" ht="15.6">
      <c r="A2082" s="476">
        <v>45904</v>
      </c>
      <c r="B2082" s="469" t="s">
        <v>2227</v>
      </c>
      <c r="C2082" s="469" t="s">
        <v>173</v>
      </c>
      <c r="D2082" s="469" t="s">
        <v>119</v>
      </c>
      <c r="E2082" s="472">
        <v>1000</v>
      </c>
      <c r="F2082" s="463">
        <f t="shared" si="24"/>
        <v>1.8744037053212446</v>
      </c>
      <c r="G2082" s="464">
        <v>533.50300000000004</v>
      </c>
      <c r="H2082" s="469" t="s">
        <v>212</v>
      </c>
      <c r="I2082" s="469" t="s">
        <v>3470</v>
      </c>
      <c r="J2082" s="247" t="s">
        <v>97</v>
      </c>
      <c r="K2082" s="247" t="s">
        <v>1133</v>
      </c>
      <c r="L2082" s="247" t="s">
        <v>154</v>
      </c>
      <c r="M2082" s="76"/>
      <c r="N2082" s="76"/>
    </row>
    <row r="2083" spans="1:14" ht="15.6">
      <c r="A2083" s="476">
        <v>45904</v>
      </c>
      <c r="B2083" s="469" t="s">
        <v>2228</v>
      </c>
      <c r="C2083" s="469" t="s">
        <v>173</v>
      </c>
      <c r="D2083" s="469" t="s">
        <v>119</v>
      </c>
      <c r="E2083" s="472">
        <v>1000</v>
      </c>
      <c r="F2083" s="463">
        <f t="shared" si="24"/>
        <v>1.8744037053212446</v>
      </c>
      <c r="G2083" s="464">
        <v>533.50300000000004</v>
      </c>
      <c r="H2083" s="469" t="s">
        <v>212</v>
      </c>
      <c r="I2083" s="469" t="s">
        <v>3470</v>
      </c>
      <c r="J2083" s="247" t="s">
        <v>97</v>
      </c>
      <c r="K2083" s="247" t="s">
        <v>1133</v>
      </c>
      <c r="L2083" s="247" t="s">
        <v>154</v>
      </c>
      <c r="M2083" s="76"/>
      <c r="N2083" s="76"/>
    </row>
    <row r="2084" spans="1:14" ht="15.6">
      <c r="A2084" s="476">
        <v>45904</v>
      </c>
      <c r="B2084" s="469" t="s">
        <v>3435</v>
      </c>
      <c r="C2084" s="469" t="s">
        <v>173</v>
      </c>
      <c r="D2084" s="469" t="s">
        <v>119</v>
      </c>
      <c r="E2084" s="472">
        <v>1000</v>
      </c>
      <c r="F2084" s="463">
        <f t="shared" si="24"/>
        <v>1.8744037053212446</v>
      </c>
      <c r="G2084" s="464">
        <v>533.50300000000004</v>
      </c>
      <c r="H2084" s="469" t="s">
        <v>212</v>
      </c>
      <c r="I2084" s="469" t="s">
        <v>3470</v>
      </c>
      <c r="J2084" s="247" t="s">
        <v>97</v>
      </c>
      <c r="K2084" s="247" t="s">
        <v>1133</v>
      </c>
      <c r="L2084" s="247" t="s">
        <v>154</v>
      </c>
      <c r="M2084" s="76"/>
      <c r="N2084" s="76"/>
    </row>
    <row r="2085" spans="1:14" ht="15.6">
      <c r="A2085" s="476">
        <v>45904</v>
      </c>
      <c r="B2085" s="247" t="s">
        <v>3436</v>
      </c>
      <c r="C2085" s="247" t="s">
        <v>2089</v>
      </c>
      <c r="D2085" s="469" t="s">
        <v>119</v>
      </c>
      <c r="E2085" s="468">
        <v>6000</v>
      </c>
      <c r="F2085" s="463">
        <f t="shared" si="24"/>
        <v>11.246422231927466</v>
      </c>
      <c r="G2085" s="464">
        <v>533.50300000000004</v>
      </c>
      <c r="H2085" s="469" t="s">
        <v>212</v>
      </c>
      <c r="I2085" s="247" t="s">
        <v>3475</v>
      </c>
      <c r="J2085" s="247" t="s">
        <v>97</v>
      </c>
      <c r="K2085" s="247" t="s">
        <v>1133</v>
      </c>
      <c r="L2085" s="247" t="s">
        <v>154</v>
      </c>
      <c r="M2085" s="76"/>
      <c r="N2085" s="76"/>
    </row>
    <row r="2086" spans="1:14" ht="15.6">
      <c r="A2086" s="471">
        <v>45904</v>
      </c>
      <c r="B2086" s="247" t="s">
        <v>3437</v>
      </c>
      <c r="C2086" s="247" t="s">
        <v>2089</v>
      </c>
      <c r="D2086" s="469" t="s">
        <v>119</v>
      </c>
      <c r="E2086" s="468">
        <v>6000</v>
      </c>
      <c r="F2086" s="463">
        <f t="shared" ref="F2086:F2149" si="25">E2086/G2086</f>
        <v>11.246422231927466</v>
      </c>
      <c r="G2086" s="464">
        <v>533.50300000000004</v>
      </c>
      <c r="H2086" s="469" t="s">
        <v>212</v>
      </c>
      <c r="I2086" s="247" t="s">
        <v>3475</v>
      </c>
      <c r="J2086" s="247" t="s">
        <v>97</v>
      </c>
      <c r="K2086" s="247" t="s">
        <v>1133</v>
      </c>
      <c r="L2086" s="247" t="s">
        <v>154</v>
      </c>
      <c r="M2086" s="76"/>
      <c r="N2086" s="76"/>
    </row>
    <row r="2087" spans="1:14" ht="15.6">
      <c r="A2087" s="471">
        <v>45904</v>
      </c>
      <c r="B2087" s="247" t="s">
        <v>3438</v>
      </c>
      <c r="C2087" s="247" t="s">
        <v>2089</v>
      </c>
      <c r="D2087" s="469" t="s">
        <v>119</v>
      </c>
      <c r="E2087" s="468">
        <v>6000</v>
      </c>
      <c r="F2087" s="463">
        <f t="shared" si="25"/>
        <v>11.246422231927466</v>
      </c>
      <c r="G2087" s="464">
        <v>533.50300000000004</v>
      </c>
      <c r="H2087" s="469" t="s">
        <v>212</v>
      </c>
      <c r="I2087" s="247" t="s">
        <v>3475</v>
      </c>
      <c r="J2087" s="247" t="s">
        <v>97</v>
      </c>
      <c r="K2087" s="247" t="s">
        <v>1133</v>
      </c>
      <c r="L2087" s="247" t="s">
        <v>154</v>
      </c>
      <c r="M2087" s="76"/>
      <c r="N2087" s="76"/>
    </row>
    <row r="2088" spans="1:14" ht="15.6">
      <c r="A2088" s="471">
        <v>45904</v>
      </c>
      <c r="B2088" s="247" t="s">
        <v>3439</v>
      </c>
      <c r="C2088" s="247" t="s">
        <v>2089</v>
      </c>
      <c r="D2088" s="469" t="s">
        <v>119</v>
      </c>
      <c r="E2088" s="468">
        <v>6000</v>
      </c>
      <c r="F2088" s="463">
        <f t="shared" si="25"/>
        <v>11.246422231927466</v>
      </c>
      <c r="G2088" s="464">
        <v>533.50300000000004</v>
      </c>
      <c r="H2088" s="469" t="s">
        <v>212</v>
      </c>
      <c r="I2088" s="247" t="s">
        <v>3475</v>
      </c>
      <c r="J2088" s="247" t="s">
        <v>97</v>
      </c>
      <c r="K2088" s="247" t="s">
        <v>1133</v>
      </c>
      <c r="L2088" s="247" t="s">
        <v>154</v>
      </c>
      <c r="M2088" s="76"/>
      <c r="N2088" s="76"/>
    </row>
    <row r="2089" spans="1:14" ht="15.6">
      <c r="A2089" s="471">
        <v>45904</v>
      </c>
      <c r="B2089" s="247" t="s">
        <v>3440</v>
      </c>
      <c r="C2089" s="247" t="s">
        <v>2089</v>
      </c>
      <c r="D2089" s="469" t="s">
        <v>119</v>
      </c>
      <c r="E2089" s="468">
        <v>6000</v>
      </c>
      <c r="F2089" s="463">
        <f t="shared" si="25"/>
        <v>11.246422231927466</v>
      </c>
      <c r="G2089" s="464">
        <v>533.50300000000004</v>
      </c>
      <c r="H2089" s="469" t="s">
        <v>212</v>
      </c>
      <c r="I2089" s="247" t="s">
        <v>3475</v>
      </c>
      <c r="J2089" s="247" t="s">
        <v>97</v>
      </c>
      <c r="K2089" s="247" t="s">
        <v>1133</v>
      </c>
      <c r="L2089" s="247" t="s">
        <v>154</v>
      </c>
      <c r="M2089" s="76"/>
      <c r="N2089" s="76"/>
    </row>
    <row r="2090" spans="1:14" ht="15.6">
      <c r="A2090" s="471">
        <v>45904</v>
      </c>
      <c r="B2090" s="247" t="s">
        <v>3441</v>
      </c>
      <c r="C2090" s="247" t="s">
        <v>2089</v>
      </c>
      <c r="D2090" s="469" t="s">
        <v>119</v>
      </c>
      <c r="E2090" s="468">
        <v>6000</v>
      </c>
      <c r="F2090" s="463">
        <f t="shared" si="25"/>
        <v>11.246422231927466</v>
      </c>
      <c r="G2090" s="464">
        <v>533.50300000000004</v>
      </c>
      <c r="H2090" s="469" t="s">
        <v>212</v>
      </c>
      <c r="I2090" s="247" t="s">
        <v>3475</v>
      </c>
      <c r="J2090" s="247" t="s">
        <v>97</v>
      </c>
      <c r="K2090" s="247" t="s">
        <v>1133</v>
      </c>
      <c r="L2090" s="247" t="s">
        <v>154</v>
      </c>
      <c r="M2090" s="76"/>
      <c r="N2090" s="76"/>
    </row>
    <row r="2091" spans="1:14" ht="15.6">
      <c r="A2091" s="471">
        <v>45904</v>
      </c>
      <c r="B2091" s="247" t="s">
        <v>3442</v>
      </c>
      <c r="C2091" s="247" t="s">
        <v>2089</v>
      </c>
      <c r="D2091" s="469" t="s">
        <v>119</v>
      </c>
      <c r="E2091" s="468">
        <v>6000</v>
      </c>
      <c r="F2091" s="463">
        <f t="shared" si="25"/>
        <v>11.246422231927466</v>
      </c>
      <c r="G2091" s="464">
        <v>533.50300000000004</v>
      </c>
      <c r="H2091" s="469" t="s">
        <v>212</v>
      </c>
      <c r="I2091" s="247" t="s">
        <v>3475</v>
      </c>
      <c r="J2091" s="247" t="s">
        <v>97</v>
      </c>
      <c r="K2091" s="247" t="s">
        <v>1133</v>
      </c>
      <c r="L2091" s="247" t="s">
        <v>154</v>
      </c>
      <c r="M2091" s="76"/>
      <c r="N2091" s="76"/>
    </row>
    <row r="2092" spans="1:14" ht="15.6">
      <c r="A2092" s="471">
        <v>45904</v>
      </c>
      <c r="B2092" s="247" t="s">
        <v>3443</v>
      </c>
      <c r="C2092" s="247" t="s">
        <v>2089</v>
      </c>
      <c r="D2092" s="469" t="s">
        <v>119</v>
      </c>
      <c r="E2092" s="468">
        <v>6000</v>
      </c>
      <c r="F2092" s="463">
        <f t="shared" si="25"/>
        <v>11.246422231927466</v>
      </c>
      <c r="G2092" s="464">
        <v>533.50300000000004</v>
      </c>
      <c r="H2092" s="469" t="s">
        <v>212</v>
      </c>
      <c r="I2092" s="247" t="s">
        <v>3475</v>
      </c>
      <c r="J2092" s="247" t="s">
        <v>97</v>
      </c>
      <c r="K2092" s="247" t="s">
        <v>1133</v>
      </c>
      <c r="L2092" s="247" t="s">
        <v>154</v>
      </c>
      <c r="M2092" s="76"/>
      <c r="N2092" s="76"/>
    </row>
    <row r="2093" spans="1:14" ht="15.6">
      <c r="A2093" s="471">
        <v>45904</v>
      </c>
      <c r="B2093" s="247" t="s">
        <v>3444</v>
      </c>
      <c r="C2093" s="247" t="s">
        <v>2089</v>
      </c>
      <c r="D2093" s="469" t="s">
        <v>119</v>
      </c>
      <c r="E2093" s="468">
        <v>6000</v>
      </c>
      <c r="F2093" s="463">
        <f t="shared" si="25"/>
        <v>11.246422231927466</v>
      </c>
      <c r="G2093" s="464">
        <v>533.50300000000004</v>
      </c>
      <c r="H2093" s="469" t="s">
        <v>212</v>
      </c>
      <c r="I2093" s="247" t="s">
        <v>3475</v>
      </c>
      <c r="J2093" s="247" t="s">
        <v>97</v>
      </c>
      <c r="K2093" s="247" t="s">
        <v>1133</v>
      </c>
      <c r="L2093" s="247" t="s">
        <v>154</v>
      </c>
      <c r="M2093" s="76"/>
      <c r="N2093" s="76"/>
    </row>
    <row r="2094" spans="1:14" ht="15.6">
      <c r="A2094" s="471">
        <v>45904</v>
      </c>
      <c r="B2094" s="247" t="s">
        <v>3445</v>
      </c>
      <c r="C2094" s="247" t="s">
        <v>2089</v>
      </c>
      <c r="D2094" s="469" t="s">
        <v>119</v>
      </c>
      <c r="E2094" s="468">
        <v>6000</v>
      </c>
      <c r="F2094" s="463">
        <f t="shared" si="25"/>
        <v>11.246422231927466</v>
      </c>
      <c r="G2094" s="464">
        <v>533.50300000000004</v>
      </c>
      <c r="H2094" s="469" t="s">
        <v>212</v>
      </c>
      <c r="I2094" s="247" t="s">
        <v>3475</v>
      </c>
      <c r="J2094" s="247" t="s">
        <v>97</v>
      </c>
      <c r="K2094" s="247" t="s">
        <v>1133</v>
      </c>
      <c r="L2094" s="247" t="s">
        <v>154</v>
      </c>
      <c r="M2094" s="76"/>
      <c r="N2094" s="76"/>
    </row>
    <row r="2095" spans="1:14" ht="15.6">
      <c r="A2095" s="471">
        <v>45904</v>
      </c>
      <c r="B2095" s="247" t="s">
        <v>3446</v>
      </c>
      <c r="C2095" s="247" t="s">
        <v>2089</v>
      </c>
      <c r="D2095" s="469" t="s">
        <v>119</v>
      </c>
      <c r="E2095" s="468">
        <v>6000</v>
      </c>
      <c r="F2095" s="463">
        <f t="shared" si="25"/>
        <v>11.246422231927466</v>
      </c>
      <c r="G2095" s="464">
        <v>533.50300000000004</v>
      </c>
      <c r="H2095" s="469" t="s">
        <v>212</v>
      </c>
      <c r="I2095" s="247" t="s">
        <v>3475</v>
      </c>
      <c r="J2095" s="247" t="s">
        <v>97</v>
      </c>
      <c r="K2095" s="247" t="s">
        <v>1133</v>
      </c>
      <c r="L2095" s="247" t="s">
        <v>154</v>
      </c>
      <c r="M2095" s="76"/>
      <c r="N2095" s="76"/>
    </row>
    <row r="2096" spans="1:14" ht="15.6">
      <c r="A2096" s="471">
        <v>45904</v>
      </c>
      <c r="B2096" s="247" t="s">
        <v>3447</v>
      </c>
      <c r="C2096" s="247" t="s">
        <v>2089</v>
      </c>
      <c r="D2096" s="469" t="s">
        <v>119</v>
      </c>
      <c r="E2096" s="468">
        <v>6000</v>
      </c>
      <c r="F2096" s="463">
        <f t="shared" si="25"/>
        <v>11.246422231927466</v>
      </c>
      <c r="G2096" s="464">
        <v>533.50300000000004</v>
      </c>
      <c r="H2096" s="469" t="s">
        <v>212</v>
      </c>
      <c r="I2096" s="247" t="s">
        <v>3475</v>
      </c>
      <c r="J2096" s="247" t="s">
        <v>97</v>
      </c>
      <c r="K2096" s="247" t="s">
        <v>1133</v>
      </c>
      <c r="L2096" s="247" t="s">
        <v>154</v>
      </c>
      <c r="M2096" s="76"/>
      <c r="N2096" s="76"/>
    </row>
    <row r="2097" spans="1:14" ht="15.6">
      <c r="A2097" s="471">
        <v>45904</v>
      </c>
      <c r="B2097" s="247" t="s">
        <v>3448</v>
      </c>
      <c r="C2097" s="247" t="s">
        <v>2089</v>
      </c>
      <c r="D2097" s="469" t="s">
        <v>119</v>
      </c>
      <c r="E2097" s="468">
        <v>6000</v>
      </c>
      <c r="F2097" s="463">
        <f t="shared" si="25"/>
        <v>11.246422231927466</v>
      </c>
      <c r="G2097" s="464">
        <v>533.50300000000004</v>
      </c>
      <c r="H2097" s="469" t="s">
        <v>212</v>
      </c>
      <c r="I2097" s="247" t="s">
        <v>3475</v>
      </c>
      <c r="J2097" s="247" t="s">
        <v>97</v>
      </c>
      <c r="K2097" s="247" t="s">
        <v>1133</v>
      </c>
      <c r="L2097" s="247" t="s">
        <v>154</v>
      </c>
      <c r="M2097" s="76"/>
      <c r="N2097" s="76"/>
    </row>
    <row r="2098" spans="1:14" ht="15.6">
      <c r="A2098" s="471">
        <v>45904</v>
      </c>
      <c r="B2098" s="247" t="s">
        <v>3449</v>
      </c>
      <c r="C2098" s="247" t="s">
        <v>2089</v>
      </c>
      <c r="D2098" s="469" t="s">
        <v>119</v>
      </c>
      <c r="E2098" s="468">
        <v>6000</v>
      </c>
      <c r="F2098" s="463">
        <f t="shared" si="25"/>
        <v>11.246422231927466</v>
      </c>
      <c r="G2098" s="464">
        <v>533.50300000000004</v>
      </c>
      <c r="H2098" s="469" t="s">
        <v>212</v>
      </c>
      <c r="I2098" s="247" t="s">
        <v>3475</v>
      </c>
      <c r="J2098" s="247" t="s">
        <v>97</v>
      </c>
      <c r="K2098" s="247" t="s">
        <v>1133</v>
      </c>
      <c r="L2098" s="247" t="s">
        <v>154</v>
      </c>
      <c r="M2098" s="76"/>
      <c r="N2098" s="76"/>
    </row>
    <row r="2099" spans="1:14" ht="15.6">
      <c r="A2099" s="471">
        <v>45904</v>
      </c>
      <c r="B2099" s="247" t="s">
        <v>3450</v>
      </c>
      <c r="C2099" s="247" t="s">
        <v>2089</v>
      </c>
      <c r="D2099" s="469" t="s">
        <v>119</v>
      </c>
      <c r="E2099" s="468">
        <v>10000</v>
      </c>
      <c r="F2099" s="463">
        <f t="shared" si="25"/>
        <v>18.744037053212445</v>
      </c>
      <c r="G2099" s="464">
        <v>533.50300000000004</v>
      </c>
      <c r="H2099" s="469" t="s">
        <v>212</v>
      </c>
      <c r="I2099" s="247" t="s">
        <v>3476</v>
      </c>
      <c r="J2099" s="247" t="s">
        <v>97</v>
      </c>
      <c r="K2099" s="247" t="s">
        <v>1133</v>
      </c>
      <c r="L2099" s="247" t="s">
        <v>154</v>
      </c>
      <c r="M2099" s="76"/>
      <c r="N2099" s="76"/>
    </row>
    <row r="2100" spans="1:14" ht="15.6">
      <c r="A2100" s="471">
        <v>45904</v>
      </c>
      <c r="B2100" s="247" t="s">
        <v>3451</v>
      </c>
      <c r="C2100" s="247" t="s">
        <v>2089</v>
      </c>
      <c r="D2100" s="469" t="s">
        <v>119</v>
      </c>
      <c r="E2100" s="468">
        <v>10000</v>
      </c>
      <c r="F2100" s="463">
        <f t="shared" si="25"/>
        <v>18.744037053212445</v>
      </c>
      <c r="G2100" s="464">
        <v>533.50300000000004</v>
      </c>
      <c r="H2100" s="469" t="s">
        <v>212</v>
      </c>
      <c r="I2100" s="247" t="s">
        <v>3476</v>
      </c>
      <c r="J2100" s="247" t="s">
        <v>97</v>
      </c>
      <c r="K2100" s="247" t="s">
        <v>1133</v>
      </c>
      <c r="L2100" s="247" t="s">
        <v>154</v>
      </c>
      <c r="M2100" s="76"/>
      <c r="N2100" s="76"/>
    </row>
    <row r="2101" spans="1:14" ht="15.6">
      <c r="A2101" s="471">
        <v>45904</v>
      </c>
      <c r="B2101" s="247" t="s">
        <v>3452</v>
      </c>
      <c r="C2101" s="247" t="s">
        <v>2089</v>
      </c>
      <c r="D2101" s="469" t="s">
        <v>119</v>
      </c>
      <c r="E2101" s="468">
        <v>10000</v>
      </c>
      <c r="F2101" s="463">
        <f t="shared" si="25"/>
        <v>18.744037053212445</v>
      </c>
      <c r="G2101" s="464">
        <v>533.50300000000004</v>
      </c>
      <c r="H2101" s="469" t="s">
        <v>212</v>
      </c>
      <c r="I2101" s="247" t="s">
        <v>3476</v>
      </c>
      <c r="J2101" s="247" t="s">
        <v>97</v>
      </c>
      <c r="K2101" s="247" t="s">
        <v>1133</v>
      </c>
      <c r="L2101" s="247" t="s">
        <v>154</v>
      </c>
      <c r="M2101" s="76"/>
      <c r="N2101" s="76"/>
    </row>
    <row r="2102" spans="1:14" ht="15.6">
      <c r="A2102" s="471">
        <v>45904</v>
      </c>
      <c r="B2102" s="247" t="s">
        <v>3453</v>
      </c>
      <c r="C2102" s="247" t="s">
        <v>2089</v>
      </c>
      <c r="D2102" s="469" t="s">
        <v>119</v>
      </c>
      <c r="E2102" s="468">
        <v>10000</v>
      </c>
      <c r="F2102" s="463">
        <f t="shared" si="25"/>
        <v>18.744037053212445</v>
      </c>
      <c r="G2102" s="464">
        <v>533.50300000000004</v>
      </c>
      <c r="H2102" s="469" t="s">
        <v>212</v>
      </c>
      <c r="I2102" s="247" t="s">
        <v>3476</v>
      </c>
      <c r="J2102" s="247" t="s">
        <v>97</v>
      </c>
      <c r="K2102" s="247" t="s">
        <v>1133</v>
      </c>
      <c r="L2102" s="247" t="s">
        <v>154</v>
      </c>
      <c r="M2102" s="76"/>
      <c r="N2102" s="76"/>
    </row>
    <row r="2103" spans="1:14" ht="15.6">
      <c r="A2103" s="471">
        <v>45904</v>
      </c>
      <c r="B2103" s="247" t="s">
        <v>3454</v>
      </c>
      <c r="C2103" s="247" t="s">
        <v>2089</v>
      </c>
      <c r="D2103" s="469" t="s">
        <v>119</v>
      </c>
      <c r="E2103" s="468">
        <v>6000</v>
      </c>
      <c r="F2103" s="463">
        <f t="shared" si="25"/>
        <v>11.246422231927466</v>
      </c>
      <c r="G2103" s="464">
        <v>533.50300000000004</v>
      </c>
      <c r="H2103" s="469" t="s">
        <v>212</v>
      </c>
      <c r="I2103" s="247" t="s">
        <v>3477</v>
      </c>
      <c r="J2103" s="247" t="s">
        <v>97</v>
      </c>
      <c r="K2103" s="247" t="s">
        <v>1133</v>
      </c>
      <c r="L2103" s="247" t="s">
        <v>154</v>
      </c>
      <c r="M2103" s="76"/>
      <c r="N2103" s="76"/>
    </row>
    <row r="2104" spans="1:14" ht="15.6">
      <c r="A2104" s="471">
        <v>45904</v>
      </c>
      <c r="B2104" s="247" t="s">
        <v>3455</v>
      </c>
      <c r="C2104" s="247" t="s">
        <v>2089</v>
      </c>
      <c r="D2104" s="469" t="s">
        <v>119</v>
      </c>
      <c r="E2104" s="468">
        <v>6000</v>
      </c>
      <c r="F2104" s="463">
        <f t="shared" si="25"/>
        <v>11.246422231927466</v>
      </c>
      <c r="G2104" s="464">
        <v>533.50300000000004</v>
      </c>
      <c r="H2104" s="469" t="s">
        <v>212</v>
      </c>
      <c r="I2104" s="247" t="s">
        <v>3477</v>
      </c>
      <c r="J2104" s="247" t="s">
        <v>97</v>
      </c>
      <c r="K2104" s="247" t="s">
        <v>1133</v>
      </c>
      <c r="L2104" s="247" t="s">
        <v>154</v>
      </c>
      <c r="M2104" s="76"/>
      <c r="N2104" s="76"/>
    </row>
    <row r="2105" spans="1:14" ht="15.6">
      <c r="A2105" s="471">
        <v>45904</v>
      </c>
      <c r="B2105" s="247" t="s">
        <v>3456</v>
      </c>
      <c r="C2105" s="247" t="s">
        <v>2089</v>
      </c>
      <c r="D2105" s="469" t="s">
        <v>119</v>
      </c>
      <c r="E2105" s="468">
        <v>6000</v>
      </c>
      <c r="F2105" s="463">
        <f t="shared" si="25"/>
        <v>11.246422231927466</v>
      </c>
      <c r="G2105" s="464">
        <v>533.50300000000004</v>
      </c>
      <c r="H2105" s="469" t="s">
        <v>212</v>
      </c>
      <c r="I2105" s="247" t="s">
        <v>3477</v>
      </c>
      <c r="J2105" s="247" t="s">
        <v>97</v>
      </c>
      <c r="K2105" s="247" t="s">
        <v>1133</v>
      </c>
      <c r="L2105" s="247" t="s">
        <v>154</v>
      </c>
      <c r="M2105" s="76"/>
      <c r="N2105" s="76"/>
    </row>
    <row r="2106" spans="1:14" ht="15.6">
      <c r="A2106" s="471">
        <v>45904</v>
      </c>
      <c r="B2106" s="247" t="s">
        <v>3457</v>
      </c>
      <c r="C2106" s="247" t="s">
        <v>2089</v>
      </c>
      <c r="D2106" s="469" t="s">
        <v>119</v>
      </c>
      <c r="E2106" s="468">
        <v>6000</v>
      </c>
      <c r="F2106" s="463">
        <f t="shared" si="25"/>
        <v>11.246422231927466</v>
      </c>
      <c r="G2106" s="464">
        <v>533.50300000000004</v>
      </c>
      <c r="H2106" s="469" t="s">
        <v>212</v>
      </c>
      <c r="I2106" s="247" t="s">
        <v>3477</v>
      </c>
      <c r="J2106" s="247" t="s">
        <v>97</v>
      </c>
      <c r="K2106" s="247" t="s">
        <v>1133</v>
      </c>
      <c r="L2106" s="247" t="s">
        <v>154</v>
      </c>
      <c r="M2106" s="76"/>
      <c r="N2106" s="76"/>
    </row>
    <row r="2107" spans="1:14" ht="15.6">
      <c r="A2107" s="476">
        <v>45905</v>
      </c>
      <c r="B2107" s="359" t="s">
        <v>2100</v>
      </c>
      <c r="C2107" s="462" t="s">
        <v>173</v>
      </c>
      <c r="D2107" s="462" t="s">
        <v>118</v>
      </c>
      <c r="E2107" s="359">
        <v>1000</v>
      </c>
      <c r="F2107" s="463">
        <f t="shared" si="25"/>
        <v>1.8744037053212446</v>
      </c>
      <c r="G2107" s="464">
        <v>533.50300000000004</v>
      </c>
      <c r="H2107" s="465" t="s">
        <v>152</v>
      </c>
      <c r="I2107" s="469" t="s">
        <v>2868</v>
      </c>
      <c r="J2107" s="247" t="s">
        <v>97</v>
      </c>
      <c r="K2107" s="247" t="s">
        <v>1133</v>
      </c>
      <c r="L2107" s="247" t="s">
        <v>154</v>
      </c>
      <c r="M2107" s="335"/>
      <c r="N2107" s="335"/>
    </row>
    <row r="2108" spans="1:14" ht="15.6">
      <c r="A2108" s="476">
        <v>45905</v>
      </c>
      <c r="B2108" s="359" t="s">
        <v>2101</v>
      </c>
      <c r="C2108" s="462" t="s">
        <v>173</v>
      </c>
      <c r="D2108" s="462" t="s">
        <v>118</v>
      </c>
      <c r="E2108" s="359">
        <v>1000</v>
      </c>
      <c r="F2108" s="463">
        <f t="shared" si="25"/>
        <v>1.8744037053212446</v>
      </c>
      <c r="G2108" s="464">
        <v>533.50300000000004</v>
      </c>
      <c r="H2108" s="465" t="s">
        <v>152</v>
      </c>
      <c r="I2108" s="469" t="s">
        <v>2868</v>
      </c>
      <c r="J2108" s="247" t="s">
        <v>97</v>
      </c>
      <c r="K2108" s="247" t="s">
        <v>1133</v>
      </c>
      <c r="L2108" s="247" t="s">
        <v>154</v>
      </c>
      <c r="M2108" s="335"/>
      <c r="N2108" s="335"/>
    </row>
    <row r="2109" spans="1:14" ht="15.6">
      <c r="A2109" s="474">
        <v>45905</v>
      </c>
      <c r="B2109" s="475" t="s">
        <v>3779</v>
      </c>
      <c r="C2109" s="475" t="s">
        <v>173</v>
      </c>
      <c r="D2109" s="179" t="s">
        <v>442</v>
      </c>
      <c r="E2109" s="475">
        <v>1000</v>
      </c>
      <c r="F2109" s="463">
        <f t="shared" si="25"/>
        <v>1.8744037053212446</v>
      </c>
      <c r="G2109" s="464">
        <v>533.50300000000004</v>
      </c>
      <c r="H2109" s="475" t="s">
        <v>183</v>
      </c>
      <c r="I2109" s="475" t="s">
        <v>3086</v>
      </c>
      <c r="J2109" s="247" t="s">
        <v>97</v>
      </c>
      <c r="K2109" s="247" t="s">
        <v>1133</v>
      </c>
      <c r="L2109" s="247" t="s">
        <v>154</v>
      </c>
      <c r="M2109" s="335"/>
      <c r="N2109" s="335"/>
    </row>
    <row r="2110" spans="1:14" ht="15.6">
      <c r="A2110" s="474">
        <v>45905</v>
      </c>
      <c r="B2110" s="475" t="s">
        <v>3820</v>
      </c>
      <c r="C2110" s="475" t="s">
        <v>173</v>
      </c>
      <c r="D2110" s="179" t="s">
        <v>442</v>
      </c>
      <c r="E2110" s="475">
        <v>1000</v>
      </c>
      <c r="F2110" s="463">
        <f t="shared" si="25"/>
        <v>1.8744037053212446</v>
      </c>
      <c r="G2110" s="464">
        <v>533.50300000000004</v>
      </c>
      <c r="H2110" s="475" t="s">
        <v>183</v>
      </c>
      <c r="I2110" s="475" t="s">
        <v>3086</v>
      </c>
      <c r="J2110" s="247" t="s">
        <v>97</v>
      </c>
      <c r="K2110" s="247" t="s">
        <v>1133</v>
      </c>
      <c r="L2110" s="247" t="s">
        <v>154</v>
      </c>
      <c r="M2110" s="335"/>
      <c r="N2110" s="335"/>
    </row>
    <row r="2111" spans="1:14" ht="15.6">
      <c r="A2111" s="474">
        <v>45905</v>
      </c>
      <c r="B2111" s="475" t="s">
        <v>3779</v>
      </c>
      <c r="C2111" s="475" t="s">
        <v>173</v>
      </c>
      <c r="D2111" s="179" t="s">
        <v>442</v>
      </c>
      <c r="E2111" s="475">
        <v>1000</v>
      </c>
      <c r="F2111" s="463">
        <f t="shared" si="25"/>
        <v>1.8744037053212446</v>
      </c>
      <c r="G2111" s="464">
        <v>533.50300000000004</v>
      </c>
      <c r="H2111" s="475" t="s">
        <v>183</v>
      </c>
      <c r="I2111" s="475" t="s">
        <v>3086</v>
      </c>
      <c r="J2111" s="247" t="s">
        <v>97</v>
      </c>
      <c r="K2111" s="247" t="s">
        <v>1133</v>
      </c>
      <c r="L2111" s="247" t="s">
        <v>154</v>
      </c>
      <c r="M2111" s="335"/>
      <c r="N2111" s="335"/>
    </row>
    <row r="2112" spans="1:14" ht="15.6">
      <c r="A2112" s="474">
        <v>45905</v>
      </c>
      <c r="B2112" s="475" t="s">
        <v>3778</v>
      </c>
      <c r="C2112" s="475" t="s">
        <v>173</v>
      </c>
      <c r="D2112" s="179" t="s">
        <v>442</v>
      </c>
      <c r="E2112" s="475">
        <v>1000</v>
      </c>
      <c r="F2112" s="463">
        <f t="shared" si="25"/>
        <v>1.8744037053212446</v>
      </c>
      <c r="G2112" s="464">
        <v>533.50300000000004</v>
      </c>
      <c r="H2112" s="475" t="s">
        <v>183</v>
      </c>
      <c r="I2112" s="475" t="s">
        <v>3086</v>
      </c>
      <c r="J2112" s="247" t="s">
        <v>97</v>
      </c>
      <c r="K2112" s="247" t="s">
        <v>1133</v>
      </c>
      <c r="L2112" s="247" t="s">
        <v>154</v>
      </c>
      <c r="M2112" s="335"/>
      <c r="N2112" s="335"/>
    </row>
    <row r="2113" spans="1:14" ht="15.6">
      <c r="A2113" s="474">
        <v>45905</v>
      </c>
      <c r="B2113" s="475" t="s">
        <v>3002</v>
      </c>
      <c r="C2113" s="475" t="s">
        <v>173</v>
      </c>
      <c r="D2113" s="179" t="s">
        <v>442</v>
      </c>
      <c r="E2113" s="475">
        <v>1000</v>
      </c>
      <c r="F2113" s="463">
        <f t="shared" si="25"/>
        <v>1.8744037053212446</v>
      </c>
      <c r="G2113" s="464">
        <v>533.50300000000004</v>
      </c>
      <c r="H2113" s="475" t="s">
        <v>183</v>
      </c>
      <c r="I2113" s="475" t="s">
        <v>3086</v>
      </c>
      <c r="J2113" s="247" t="s">
        <v>97</v>
      </c>
      <c r="K2113" s="247" t="s">
        <v>1133</v>
      </c>
      <c r="L2113" s="247" t="s">
        <v>154</v>
      </c>
      <c r="M2113" s="335"/>
      <c r="N2113" s="335"/>
    </row>
    <row r="2114" spans="1:14" ht="15.6">
      <c r="A2114" s="474">
        <v>45905</v>
      </c>
      <c r="B2114" s="475" t="s">
        <v>3003</v>
      </c>
      <c r="C2114" s="475" t="s">
        <v>368</v>
      </c>
      <c r="D2114" s="179" t="s">
        <v>442</v>
      </c>
      <c r="E2114" s="475">
        <v>1000</v>
      </c>
      <c r="F2114" s="463">
        <f t="shared" si="25"/>
        <v>1.8744037053212446</v>
      </c>
      <c r="G2114" s="464">
        <v>533.50300000000004</v>
      </c>
      <c r="H2114" s="475" t="s">
        <v>183</v>
      </c>
      <c r="I2114" s="475" t="s">
        <v>3092</v>
      </c>
      <c r="J2114" s="247" t="s">
        <v>97</v>
      </c>
      <c r="K2114" s="247" t="s">
        <v>1133</v>
      </c>
      <c r="L2114" s="247" t="s">
        <v>154</v>
      </c>
      <c r="M2114" s="335"/>
      <c r="N2114" s="335"/>
    </row>
    <row r="2115" spans="1:14" ht="15.6">
      <c r="A2115" s="476">
        <v>45905</v>
      </c>
      <c r="B2115" s="469" t="s">
        <v>3912</v>
      </c>
      <c r="C2115" s="469" t="s">
        <v>173</v>
      </c>
      <c r="D2115" s="179" t="s">
        <v>442</v>
      </c>
      <c r="E2115" s="469">
        <v>1000</v>
      </c>
      <c r="F2115" s="463">
        <f t="shared" si="25"/>
        <v>1.8744037053212446</v>
      </c>
      <c r="G2115" s="464">
        <v>533.50300000000004</v>
      </c>
      <c r="H2115" s="469" t="s">
        <v>174</v>
      </c>
      <c r="I2115" s="469" t="s">
        <v>3196</v>
      </c>
      <c r="J2115" s="247" t="s">
        <v>97</v>
      </c>
      <c r="K2115" s="247" t="s">
        <v>1133</v>
      </c>
      <c r="L2115" s="247" t="s">
        <v>154</v>
      </c>
      <c r="M2115" s="414"/>
      <c r="N2115" s="414"/>
    </row>
    <row r="2116" spans="1:14" ht="15.6">
      <c r="A2116" s="476">
        <v>45905</v>
      </c>
      <c r="B2116" s="469" t="s">
        <v>3913</v>
      </c>
      <c r="C2116" s="469" t="s">
        <v>173</v>
      </c>
      <c r="D2116" s="179" t="s">
        <v>442</v>
      </c>
      <c r="E2116" s="469">
        <v>1000</v>
      </c>
      <c r="F2116" s="463">
        <f t="shared" si="25"/>
        <v>1.8744037053212446</v>
      </c>
      <c r="G2116" s="464">
        <v>533.50300000000004</v>
      </c>
      <c r="H2116" s="469" t="s">
        <v>174</v>
      </c>
      <c r="I2116" s="469" t="s">
        <v>3196</v>
      </c>
      <c r="J2116" s="247" t="s">
        <v>97</v>
      </c>
      <c r="K2116" s="247" t="s">
        <v>1133</v>
      </c>
      <c r="L2116" s="247" t="s">
        <v>154</v>
      </c>
      <c r="M2116" s="414"/>
      <c r="N2116" s="414"/>
    </row>
    <row r="2117" spans="1:14" ht="15.6">
      <c r="A2117" s="476">
        <v>45905</v>
      </c>
      <c r="B2117" s="469" t="s">
        <v>3914</v>
      </c>
      <c r="C2117" s="469" t="s">
        <v>173</v>
      </c>
      <c r="D2117" s="179" t="s">
        <v>442</v>
      </c>
      <c r="E2117" s="469">
        <v>1000</v>
      </c>
      <c r="F2117" s="463">
        <f t="shared" si="25"/>
        <v>1.8744037053212446</v>
      </c>
      <c r="G2117" s="464">
        <v>533.50300000000004</v>
      </c>
      <c r="H2117" s="469" t="s">
        <v>174</v>
      </c>
      <c r="I2117" s="469" t="s">
        <v>3196</v>
      </c>
      <c r="J2117" s="247" t="s">
        <v>97</v>
      </c>
      <c r="K2117" s="247" t="s">
        <v>1133</v>
      </c>
      <c r="L2117" s="247" t="s">
        <v>154</v>
      </c>
      <c r="M2117" s="414"/>
      <c r="N2117" s="414"/>
    </row>
    <row r="2118" spans="1:14" ht="15.6">
      <c r="A2118" s="476">
        <v>45905</v>
      </c>
      <c r="B2118" s="469" t="s">
        <v>3915</v>
      </c>
      <c r="C2118" s="469" t="s">
        <v>173</v>
      </c>
      <c r="D2118" s="179" t="s">
        <v>442</v>
      </c>
      <c r="E2118" s="469">
        <v>1000</v>
      </c>
      <c r="F2118" s="463">
        <f t="shared" si="25"/>
        <v>1.8744037053212446</v>
      </c>
      <c r="G2118" s="464">
        <v>533.50300000000004</v>
      </c>
      <c r="H2118" s="469" t="s">
        <v>174</v>
      </c>
      <c r="I2118" s="469" t="s">
        <v>3196</v>
      </c>
      <c r="J2118" s="247" t="s">
        <v>97</v>
      </c>
      <c r="K2118" s="247" t="s">
        <v>1133</v>
      </c>
      <c r="L2118" s="247" t="s">
        <v>154</v>
      </c>
      <c r="M2118" s="414"/>
      <c r="N2118" s="414"/>
    </row>
    <row r="2119" spans="1:14" ht="15.6">
      <c r="A2119" s="476">
        <v>45905</v>
      </c>
      <c r="B2119" s="469" t="s">
        <v>3916</v>
      </c>
      <c r="C2119" s="469" t="s">
        <v>173</v>
      </c>
      <c r="D2119" s="179" t="s">
        <v>442</v>
      </c>
      <c r="E2119" s="469">
        <v>1000</v>
      </c>
      <c r="F2119" s="463">
        <f t="shared" si="25"/>
        <v>1.8744037053212446</v>
      </c>
      <c r="G2119" s="464">
        <v>533.50300000000004</v>
      </c>
      <c r="H2119" s="469" t="s">
        <v>174</v>
      </c>
      <c r="I2119" s="469" t="s">
        <v>3196</v>
      </c>
      <c r="J2119" s="247" t="s">
        <v>97</v>
      </c>
      <c r="K2119" s="247" t="s">
        <v>1133</v>
      </c>
      <c r="L2119" s="247" t="s">
        <v>154</v>
      </c>
      <c r="M2119" s="414"/>
      <c r="N2119" s="414"/>
    </row>
    <row r="2120" spans="1:14" ht="15.6">
      <c r="A2120" s="476">
        <v>45905</v>
      </c>
      <c r="B2120" s="469" t="s">
        <v>3118</v>
      </c>
      <c r="C2120" s="469" t="s">
        <v>368</v>
      </c>
      <c r="D2120" s="179" t="s">
        <v>442</v>
      </c>
      <c r="E2120" s="469">
        <v>2000</v>
      </c>
      <c r="F2120" s="463">
        <f t="shared" si="25"/>
        <v>3.7488074106424891</v>
      </c>
      <c r="G2120" s="464">
        <v>533.50300000000004</v>
      </c>
      <c r="H2120" s="469" t="s">
        <v>174</v>
      </c>
      <c r="I2120" s="469" t="s">
        <v>3201</v>
      </c>
      <c r="J2120" s="247" t="s">
        <v>97</v>
      </c>
      <c r="K2120" s="247" t="s">
        <v>1133</v>
      </c>
      <c r="L2120" s="247" t="s">
        <v>154</v>
      </c>
      <c r="M2120" s="414"/>
      <c r="N2120" s="414"/>
    </row>
    <row r="2121" spans="1:14" ht="15.6">
      <c r="A2121" s="476">
        <v>45905</v>
      </c>
      <c r="B2121" s="469" t="s">
        <v>3737</v>
      </c>
      <c r="C2121" s="469" t="s">
        <v>173</v>
      </c>
      <c r="D2121" s="179" t="s">
        <v>442</v>
      </c>
      <c r="E2121" s="469">
        <v>700</v>
      </c>
      <c r="F2121" s="463">
        <f t="shared" si="25"/>
        <v>1.3120825937248712</v>
      </c>
      <c r="G2121" s="464">
        <v>533.50300000000004</v>
      </c>
      <c r="H2121" s="469" t="s">
        <v>316</v>
      </c>
      <c r="I2121" s="469" t="s">
        <v>3260</v>
      </c>
      <c r="J2121" s="247" t="s">
        <v>97</v>
      </c>
      <c r="K2121" s="247" t="s">
        <v>1133</v>
      </c>
      <c r="L2121" s="247" t="s">
        <v>154</v>
      </c>
      <c r="M2121" s="335"/>
      <c r="N2121" s="335"/>
    </row>
    <row r="2122" spans="1:14" ht="15.6">
      <c r="A2122" s="476">
        <v>45905</v>
      </c>
      <c r="B2122" s="469" t="s">
        <v>3737</v>
      </c>
      <c r="C2122" s="469" t="s">
        <v>173</v>
      </c>
      <c r="D2122" s="179" t="s">
        <v>442</v>
      </c>
      <c r="E2122" s="469">
        <v>600</v>
      </c>
      <c r="F2122" s="463">
        <f t="shared" si="25"/>
        <v>1.1246422231927466</v>
      </c>
      <c r="G2122" s="464">
        <v>533.50300000000004</v>
      </c>
      <c r="H2122" s="469" t="s">
        <v>316</v>
      </c>
      <c r="I2122" s="469" t="s">
        <v>3260</v>
      </c>
      <c r="J2122" s="247" t="s">
        <v>97</v>
      </c>
      <c r="K2122" s="247" t="s">
        <v>1133</v>
      </c>
      <c r="L2122" s="247" t="s">
        <v>154</v>
      </c>
      <c r="M2122" s="335"/>
      <c r="N2122" s="335"/>
    </row>
    <row r="2123" spans="1:14" ht="15.6">
      <c r="A2123" s="476">
        <v>45905</v>
      </c>
      <c r="B2123" s="469" t="s">
        <v>3221</v>
      </c>
      <c r="C2123" s="469" t="s">
        <v>365</v>
      </c>
      <c r="D2123" s="179" t="s">
        <v>442</v>
      </c>
      <c r="E2123" s="469">
        <v>2000</v>
      </c>
      <c r="F2123" s="463">
        <f t="shared" si="25"/>
        <v>3.7488074106424891</v>
      </c>
      <c r="G2123" s="464">
        <v>533.50300000000004</v>
      </c>
      <c r="H2123" s="469" t="s">
        <v>316</v>
      </c>
      <c r="I2123" s="469" t="s">
        <v>3263</v>
      </c>
      <c r="J2123" s="247" t="s">
        <v>97</v>
      </c>
      <c r="K2123" s="247" t="s">
        <v>1133</v>
      </c>
      <c r="L2123" s="247" t="s">
        <v>154</v>
      </c>
      <c r="M2123" s="335"/>
      <c r="N2123" s="335"/>
    </row>
    <row r="2124" spans="1:14" ht="15.6">
      <c r="A2124" s="476">
        <v>45905</v>
      </c>
      <c r="B2124" s="469" t="s">
        <v>3738</v>
      </c>
      <c r="C2124" s="469" t="s">
        <v>173</v>
      </c>
      <c r="D2124" s="179" t="s">
        <v>442</v>
      </c>
      <c r="E2124" s="469">
        <v>600</v>
      </c>
      <c r="F2124" s="463">
        <f t="shared" si="25"/>
        <v>1.1246422231927466</v>
      </c>
      <c r="G2124" s="464">
        <v>533.50300000000004</v>
      </c>
      <c r="H2124" s="469" t="s">
        <v>316</v>
      </c>
      <c r="I2124" s="469" t="s">
        <v>3260</v>
      </c>
      <c r="J2124" s="247" t="s">
        <v>97</v>
      </c>
      <c r="K2124" s="247" t="s">
        <v>1133</v>
      </c>
      <c r="L2124" s="247" t="s">
        <v>154</v>
      </c>
      <c r="M2124" s="335"/>
      <c r="N2124" s="335"/>
    </row>
    <row r="2125" spans="1:14" ht="15.6">
      <c r="A2125" s="476">
        <v>45905</v>
      </c>
      <c r="B2125" s="469" t="s">
        <v>3223</v>
      </c>
      <c r="C2125" s="469" t="s">
        <v>173</v>
      </c>
      <c r="D2125" s="179" t="s">
        <v>442</v>
      </c>
      <c r="E2125" s="469">
        <v>700</v>
      </c>
      <c r="F2125" s="463">
        <f t="shared" si="25"/>
        <v>1.3120825937248712</v>
      </c>
      <c r="G2125" s="464">
        <v>533.50300000000004</v>
      </c>
      <c r="H2125" s="469" t="s">
        <v>316</v>
      </c>
      <c r="I2125" s="469" t="s">
        <v>3260</v>
      </c>
      <c r="J2125" s="247" t="s">
        <v>97</v>
      </c>
      <c r="K2125" s="247" t="s">
        <v>1133</v>
      </c>
      <c r="L2125" s="247" t="s">
        <v>154</v>
      </c>
      <c r="M2125" s="335"/>
      <c r="N2125" s="335"/>
    </row>
    <row r="2126" spans="1:14" ht="15.6">
      <c r="A2126" s="476">
        <v>45905</v>
      </c>
      <c r="B2126" s="469" t="s">
        <v>3737</v>
      </c>
      <c r="C2126" s="469" t="s">
        <v>173</v>
      </c>
      <c r="D2126" s="179" t="s">
        <v>442</v>
      </c>
      <c r="E2126" s="469">
        <v>700</v>
      </c>
      <c r="F2126" s="463">
        <f t="shared" si="25"/>
        <v>1.3120825937248712</v>
      </c>
      <c r="G2126" s="464">
        <v>533.50300000000004</v>
      </c>
      <c r="H2126" s="469" t="s">
        <v>316</v>
      </c>
      <c r="I2126" s="469" t="s">
        <v>3260</v>
      </c>
      <c r="J2126" s="247" t="s">
        <v>97</v>
      </c>
      <c r="K2126" s="247" t="s">
        <v>1133</v>
      </c>
      <c r="L2126" s="247" t="s">
        <v>154</v>
      </c>
      <c r="M2126" s="335"/>
      <c r="N2126" s="335"/>
    </row>
    <row r="2127" spans="1:14" ht="15.6">
      <c r="A2127" s="476">
        <v>45905</v>
      </c>
      <c r="B2127" s="469" t="s">
        <v>3739</v>
      </c>
      <c r="C2127" s="469" t="s">
        <v>173</v>
      </c>
      <c r="D2127" s="179" t="s">
        <v>442</v>
      </c>
      <c r="E2127" s="469">
        <v>700</v>
      </c>
      <c r="F2127" s="463">
        <f t="shared" si="25"/>
        <v>1.3120825937248712</v>
      </c>
      <c r="G2127" s="464">
        <v>533.50300000000004</v>
      </c>
      <c r="H2127" s="469" t="s">
        <v>316</v>
      </c>
      <c r="I2127" s="469" t="s">
        <v>3260</v>
      </c>
      <c r="J2127" s="247" t="s">
        <v>97</v>
      </c>
      <c r="K2127" s="247" t="s">
        <v>1133</v>
      </c>
      <c r="L2127" s="247" t="s">
        <v>154</v>
      </c>
      <c r="M2127" s="335"/>
      <c r="N2127" s="335"/>
    </row>
    <row r="2128" spans="1:14" ht="15.6">
      <c r="A2128" s="476">
        <v>45905</v>
      </c>
      <c r="B2128" s="469" t="s">
        <v>3306</v>
      </c>
      <c r="C2128" s="469" t="s">
        <v>173</v>
      </c>
      <c r="D2128" s="469" t="s">
        <v>116</v>
      </c>
      <c r="E2128" s="470">
        <v>500</v>
      </c>
      <c r="F2128" s="463">
        <f t="shared" si="25"/>
        <v>0.93720185266062228</v>
      </c>
      <c r="G2128" s="464">
        <v>533.50300000000004</v>
      </c>
      <c r="H2128" s="469" t="s">
        <v>189</v>
      </c>
      <c r="I2128" s="469" t="s">
        <v>3324</v>
      </c>
      <c r="J2128" s="247" t="s">
        <v>97</v>
      </c>
      <c r="K2128" s="247" t="s">
        <v>1133</v>
      </c>
      <c r="L2128" s="247" t="s">
        <v>154</v>
      </c>
      <c r="M2128" s="335"/>
      <c r="N2128" s="335"/>
    </row>
    <row r="2129" spans="1:14" ht="15.6">
      <c r="A2129" s="476">
        <v>45905</v>
      </c>
      <c r="B2129" s="469" t="s">
        <v>3308</v>
      </c>
      <c r="C2129" s="469" t="s">
        <v>173</v>
      </c>
      <c r="D2129" s="469" t="s">
        <v>116</v>
      </c>
      <c r="E2129" s="470">
        <v>500</v>
      </c>
      <c r="F2129" s="463">
        <f t="shared" si="25"/>
        <v>0.93720185266062228</v>
      </c>
      <c r="G2129" s="464">
        <v>533.50300000000004</v>
      </c>
      <c r="H2129" s="469" t="s">
        <v>189</v>
      </c>
      <c r="I2129" s="469" t="s">
        <v>3324</v>
      </c>
      <c r="J2129" s="247" t="s">
        <v>97</v>
      </c>
      <c r="K2129" s="247" t="s">
        <v>1133</v>
      </c>
      <c r="L2129" s="247" t="s">
        <v>154</v>
      </c>
      <c r="M2129" s="335"/>
      <c r="N2129" s="335"/>
    </row>
    <row r="2130" spans="1:14" ht="15.6">
      <c r="A2130" s="476">
        <v>45905</v>
      </c>
      <c r="B2130" s="469" t="s">
        <v>3309</v>
      </c>
      <c r="C2130" s="469" t="s">
        <v>173</v>
      </c>
      <c r="D2130" s="469" t="s">
        <v>116</v>
      </c>
      <c r="E2130" s="470">
        <v>1000</v>
      </c>
      <c r="F2130" s="463">
        <f t="shared" si="25"/>
        <v>1.8744037053212446</v>
      </c>
      <c r="G2130" s="464">
        <v>533.50300000000004</v>
      </c>
      <c r="H2130" s="469" t="s">
        <v>189</v>
      </c>
      <c r="I2130" s="469" t="s">
        <v>3324</v>
      </c>
      <c r="J2130" s="247" t="s">
        <v>97</v>
      </c>
      <c r="K2130" s="247" t="s">
        <v>1133</v>
      </c>
      <c r="L2130" s="247" t="s">
        <v>154</v>
      </c>
      <c r="M2130" s="335"/>
      <c r="N2130" s="335"/>
    </row>
    <row r="2131" spans="1:14" ht="15.6">
      <c r="A2131" s="476">
        <v>45905</v>
      </c>
      <c r="B2131" s="469" t="s">
        <v>3310</v>
      </c>
      <c r="C2131" s="469" t="s">
        <v>173</v>
      </c>
      <c r="D2131" s="469" t="s">
        <v>116</v>
      </c>
      <c r="E2131" s="470">
        <v>1000</v>
      </c>
      <c r="F2131" s="463">
        <f t="shared" si="25"/>
        <v>1.8744037053212446</v>
      </c>
      <c r="G2131" s="464">
        <v>533.50300000000004</v>
      </c>
      <c r="H2131" s="469" t="s">
        <v>189</v>
      </c>
      <c r="I2131" s="469" t="s">
        <v>3324</v>
      </c>
      <c r="J2131" s="247" t="s">
        <v>97</v>
      </c>
      <c r="K2131" s="247" t="s">
        <v>1133</v>
      </c>
      <c r="L2131" s="247" t="s">
        <v>154</v>
      </c>
      <c r="M2131" s="335"/>
      <c r="N2131" s="335"/>
    </row>
    <row r="2132" spans="1:14" ht="15.6">
      <c r="A2132" s="471">
        <v>45905</v>
      </c>
      <c r="B2132" s="247" t="s">
        <v>3311</v>
      </c>
      <c r="C2132" s="469" t="s">
        <v>181</v>
      </c>
      <c r="D2132" s="469" t="s">
        <v>117</v>
      </c>
      <c r="E2132" s="468">
        <v>14790</v>
      </c>
      <c r="F2132" s="463">
        <f t="shared" si="25"/>
        <v>27.722430801701208</v>
      </c>
      <c r="G2132" s="464">
        <v>533.50300000000004</v>
      </c>
      <c r="H2132" s="469" t="s">
        <v>189</v>
      </c>
      <c r="I2132" s="247" t="s">
        <v>3326</v>
      </c>
      <c r="J2132" s="247" t="s">
        <v>97</v>
      </c>
      <c r="K2132" s="247" t="s">
        <v>1133</v>
      </c>
      <c r="L2132" s="247" t="s">
        <v>154</v>
      </c>
      <c r="M2132" s="335"/>
      <c r="N2132" s="335"/>
    </row>
    <row r="2133" spans="1:14" ht="15.6">
      <c r="A2133" s="476">
        <v>45905</v>
      </c>
      <c r="B2133" s="469" t="s">
        <v>3306</v>
      </c>
      <c r="C2133" s="469" t="s">
        <v>173</v>
      </c>
      <c r="D2133" s="469" t="s">
        <v>116</v>
      </c>
      <c r="E2133" s="470">
        <v>500</v>
      </c>
      <c r="F2133" s="463">
        <f t="shared" si="25"/>
        <v>0.93720185266062228</v>
      </c>
      <c r="G2133" s="464">
        <v>533.50300000000004</v>
      </c>
      <c r="H2133" s="469" t="s">
        <v>189</v>
      </c>
      <c r="I2133" s="469" t="s">
        <v>3324</v>
      </c>
      <c r="J2133" s="247" t="s">
        <v>97</v>
      </c>
      <c r="K2133" s="247" t="s">
        <v>1133</v>
      </c>
      <c r="L2133" s="247" t="s">
        <v>154</v>
      </c>
      <c r="M2133" s="335"/>
      <c r="N2133" s="335"/>
    </row>
    <row r="2134" spans="1:14" ht="15.6">
      <c r="A2134" s="476">
        <v>45905</v>
      </c>
      <c r="B2134" s="469" t="s">
        <v>3308</v>
      </c>
      <c r="C2134" s="469" t="s">
        <v>173</v>
      </c>
      <c r="D2134" s="469" t="s">
        <v>116</v>
      </c>
      <c r="E2134" s="470">
        <v>500</v>
      </c>
      <c r="F2134" s="463">
        <f t="shared" si="25"/>
        <v>0.93720185266062228</v>
      </c>
      <c r="G2134" s="464">
        <v>533.50300000000004</v>
      </c>
      <c r="H2134" s="469" t="s">
        <v>189</v>
      </c>
      <c r="I2134" s="469" t="s">
        <v>3324</v>
      </c>
      <c r="J2134" s="247" t="s">
        <v>97</v>
      </c>
      <c r="K2134" s="247" t="s">
        <v>1133</v>
      </c>
      <c r="L2134" s="247" t="s">
        <v>154</v>
      </c>
      <c r="M2134" s="335"/>
      <c r="N2134" s="335"/>
    </row>
    <row r="2135" spans="1:14" ht="15.6">
      <c r="A2135" s="471">
        <v>45905</v>
      </c>
      <c r="B2135" s="469" t="s">
        <v>3340</v>
      </c>
      <c r="C2135" s="469" t="s">
        <v>176</v>
      </c>
      <c r="D2135" s="469" t="s">
        <v>116</v>
      </c>
      <c r="E2135" s="470">
        <v>90000</v>
      </c>
      <c r="F2135" s="463">
        <f t="shared" si="25"/>
        <v>168.69633347891201</v>
      </c>
      <c r="G2135" s="464">
        <v>533.50300000000004</v>
      </c>
      <c r="H2135" s="247" t="s">
        <v>192</v>
      </c>
      <c r="I2135" s="469" t="s">
        <v>3365</v>
      </c>
      <c r="J2135" s="247" t="s">
        <v>97</v>
      </c>
      <c r="K2135" s="247" t="s">
        <v>1133</v>
      </c>
      <c r="L2135" s="247" t="s">
        <v>154</v>
      </c>
      <c r="M2135" s="127"/>
      <c r="N2135" s="127"/>
    </row>
    <row r="2136" spans="1:14" ht="15.6">
      <c r="A2136" s="471">
        <v>45905</v>
      </c>
      <c r="B2136" s="469" t="s">
        <v>3341</v>
      </c>
      <c r="C2136" s="247" t="s">
        <v>173</v>
      </c>
      <c r="D2136" s="247" t="s">
        <v>116</v>
      </c>
      <c r="E2136" s="468">
        <v>500</v>
      </c>
      <c r="F2136" s="463">
        <f t="shared" si="25"/>
        <v>0.93720185266062228</v>
      </c>
      <c r="G2136" s="464">
        <v>533.50300000000004</v>
      </c>
      <c r="H2136" s="247" t="s">
        <v>192</v>
      </c>
      <c r="I2136" s="469" t="s">
        <v>3360</v>
      </c>
      <c r="J2136" s="247" t="s">
        <v>97</v>
      </c>
      <c r="K2136" s="247" t="s">
        <v>1133</v>
      </c>
      <c r="L2136" s="247" t="s">
        <v>154</v>
      </c>
      <c r="M2136" s="127"/>
      <c r="N2136" s="127"/>
    </row>
    <row r="2137" spans="1:14" ht="15.6">
      <c r="A2137" s="471">
        <v>45905</v>
      </c>
      <c r="B2137" s="469" t="s">
        <v>2643</v>
      </c>
      <c r="C2137" s="480" t="s">
        <v>173</v>
      </c>
      <c r="D2137" s="247" t="s">
        <v>116</v>
      </c>
      <c r="E2137" s="468">
        <v>500</v>
      </c>
      <c r="F2137" s="463">
        <f t="shared" si="25"/>
        <v>0.93720185266062228</v>
      </c>
      <c r="G2137" s="464">
        <v>533.50300000000004</v>
      </c>
      <c r="H2137" s="247" t="s">
        <v>192</v>
      </c>
      <c r="I2137" s="469" t="s">
        <v>3360</v>
      </c>
      <c r="J2137" s="247" t="s">
        <v>97</v>
      </c>
      <c r="K2137" s="247" t="s">
        <v>1133</v>
      </c>
      <c r="L2137" s="247" t="s">
        <v>154</v>
      </c>
      <c r="M2137" s="127"/>
      <c r="N2137" s="127"/>
    </row>
    <row r="2138" spans="1:14" ht="15.6">
      <c r="A2138" s="461">
        <v>45905</v>
      </c>
      <c r="B2138" s="469" t="s">
        <v>2696</v>
      </c>
      <c r="C2138" s="359" t="s">
        <v>195</v>
      </c>
      <c r="D2138" s="359" t="s">
        <v>116</v>
      </c>
      <c r="E2138" s="472">
        <v>500</v>
      </c>
      <c r="F2138" s="463">
        <f t="shared" si="25"/>
        <v>0.93720185266062228</v>
      </c>
      <c r="G2138" s="464">
        <v>533.50300000000004</v>
      </c>
      <c r="H2138" s="256" t="s">
        <v>196</v>
      </c>
      <c r="I2138" s="469" t="s">
        <v>3411</v>
      </c>
      <c r="J2138" s="247" t="s">
        <v>97</v>
      </c>
      <c r="K2138" s="247" t="s">
        <v>1133</v>
      </c>
      <c r="L2138" s="247" t="s">
        <v>154</v>
      </c>
      <c r="M2138" s="76"/>
      <c r="N2138" s="76"/>
    </row>
    <row r="2139" spans="1:14" ht="15.6">
      <c r="A2139" s="461">
        <v>45906</v>
      </c>
      <c r="B2139" s="469" t="s">
        <v>3382</v>
      </c>
      <c r="C2139" s="359" t="s">
        <v>195</v>
      </c>
      <c r="D2139" s="359" t="s">
        <v>116</v>
      </c>
      <c r="E2139" s="472">
        <v>500</v>
      </c>
      <c r="F2139" s="463">
        <f t="shared" si="25"/>
        <v>0.93720185266062228</v>
      </c>
      <c r="G2139" s="464">
        <v>533.50300000000004</v>
      </c>
      <c r="H2139" s="256" t="s">
        <v>196</v>
      </c>
      <c r="I2139" s="469" t="s">
        <v>3411</v>
      </c>
      <c r="J2139" s="247" t="s">
        <v>97</v>
      </c>
      <c r="K2139" s="247" t="s">
        <v>1133</v>
      </c>
      <c r="L2139" s="247" t="s">
        <v>154</v>
      </c>
      <c r="M2139" s="76"/>
      <c r="N2139" s="76"/>
    </row>
    <row r="2140" spans="1:14" ht="15.6">
      <c r="A2140" s="476">
        <v>45905</v>
      </c>
      <c r="B2140" s="469" t="s">
        <v>3458</v>
      </c>
      <c r="C2140" s="469" t="s">
        <v>173</v>
      </c>
      <c r="D2140" s="469" t="s">
        <v>119</v>
      </c>
      <c r="E2140" s="472">
        <v>1000</v>
      </c>
      <c r="F2140" s="463">
        <f t="shared" si="25"/>
        <v>1.8744037053212446</v>
      </c>
      <c r="G2140" s="464">
        <v>533.50300000000004</v>
      </c>
      <c r="H2140" s="469" t="s">
        <v>212</v>
      </c>
      <c r="I2140" s="469" t="s">
        <v>3470</v>
      </c>
      <c r="J2140" s="247" t="s">
        <v>97</v>
      </c>
      <c r="K2140" s="247" t="s">
        <v>1133</v>
      </c>
      <c r="L2140" s="247" t="s">
        <v>154</v>
      </c>
      <c r="M2140" s="76"/>
      <c r="N2140" s="76"/>
    </row>
    <row r="2141" spans="1:14" ht="15.6">
      <c r="A2141" s="476">
        <v>45905</v>
      </c>
      <c r="B2141" s="469" t="s">
        <v>3459</v>
      </c>
      <c r="C2141" s="469" t="s">
        <v>173</v>
      </c>
      <c r="D2141" s="469" t="s">
        <v>119</v>
      </c>
      <c r="E2141" s="472">
        <v>1000</v>
      </c>
      <c r="F2141" s="463">
        <f t="shared" si="25"/>
        <v>1.8744037053212446</v>
      </c>
      <c r="G2141" s="464">
        <v>533.50300000000004</v>
      </c>
      <c r="H2141" s="469" t="s">
        <v>212</v>
      </c>
      <c r="I2141" s="469" t="s">
        <v>3470</v>
      </c>
      <c r="J2141" s="247" t="s">
        <v>97</v>
      </c>
      <c r="K2141" s="247" t="s">
        <v>1133</v>
      </c>
      <c r="L2141" s="247" t="s">
        <v>154</v>
      </c>
      <c r="M2141" s="76"/>
      <c r="N2141" s="76"/>
    </row>
    <row r="2142" spans="1:14" ht="15.6">
      <c r="A2142" s="476">
        <v>45905</v>
      </c>
      <c r="B2142" s="469" t="s">
        <v>3460</v>
      </c>
      <c r="C2142" s="469" t="s">
        <v>173</v>
      </c>
      <c r="D2142" s="469" t="s">
        <v>119</v>
      </c>
      <c r="E2142" s="472">
        <v>1000</v>
      </c>
      <c r="F2142" s="463">
        <f t="shared" si="25"/>
        <v>1.8744037053212446</v>
      </c>
      <c r="G2142" s="464">
        <v>533.50300000000004</v>
      </c>
      <c r="H2142" s="469" t="s">
        <v>212</v>
      </c>
      <c r="I2142" s="469" t="s">
        <v>3470</v>
      </c>
      <c r="J2142" s="247" t="s">
        <v>97</v>
      </c>
      <c r="K2142" s="247" t="s">
        <v>1133</v>
      </c>
      <c r="L2142" s="247" t="s">
        <v>154</v>
      </c>
      <c r="M2142" s="76"/>
      <c r="N2142" s="76"/>
    </row>
    <row r="2143" spans="1:14" ht="15.6">
      <c r="A2143" s="476">
        <v>45905</v>
      </c>
      <c r="B2143" s="469" t="s">
        <v>3461</v>
      </c>
      <c r="C2143" s="469" t="s">
        <v>173</v>
      </c>
      <c r="D2143" s="469" t="s">
        <v>119</v>
      </c>
      <c r="E2143" s="472">
        <v>1000</v>
      </c>
      <c r="F2143" s="463">
        <f t="shared" si="25"/>
        <v>1.8744037053212446</v>
      </c>
      <c r="G2143" s="464">
        <v>533.50300000000004</v>
      </c>
      <c r="H2143" s="469" t="s">
        <v>212</v>
      </c>
      <c r="I2143" s="469" t="s">
        <v>3470</v>
      </c>
      <c r="J2143" s="247" t="s">
        <v>97</v>
      </c>
      <c r="K2143" s="247" t="s">
        <v>1133</v>
      </c>
      <c r="L2143" s="247" t="s">
        <v>154</v>
      </c>
      <c r="M2143" s="76"/>
      <c r="N2143" s="76"/>
    </row>
    <row r="2144" spans="1:14" ht="15.6">
      <c r="A2144" s="474">
        <v>45906</v>
      </c>
      <c r="B2144" s="216" t="s">
        <v>2419</v>
      </c>
      <c r="C2144" s="216" t="s">
        <v>173</v>
      </c>
      <c r="D2144" s="337" t="s">
        <v>116</v>
      </c>
      <c r="E2144" s="475">
        <v>500</v>
      </c>
      <c r="F2144" s="463">
        <f t="shared" si="25"/>
        <v>0.93720185266062228</v>
      </c>
      <c r="G2144" s="464">
        <v>533.50300000000004</v>
      </c>
      <c r="H2144" s="174" t="s">
        <v>199</v>
      </c>
      <c r="I2144" s="216" t="s">
        <v>2911</v>
      </c>
      <c r="J2144" s="247" t="s">
        <v>97</v>
      </c>
      <c r="K2144" s="247" t="s">
        <v>1133</v>
      </c>
      <c r="L2144" s="247" t="s">
        <v>154</v>
      </c>
      <c r="M2144" s="414"/>
      <c r="N2144" s="414"/>
    </row>
    <row r="2145" spans="1:14" ht="15.6">
      <c r="A2145" s="474">
        <v>45906</v>
      </c>
      <c r="B2145" s="216" t="s">
        <v>2418</v>
      </c>
      <c r="C2145" s="216" t="s">
        <v>173</v>
      </c>
      <c r="D2145" s="337" t="s">
        <v>116</v>
      </c>
      <c r="E2145" s="475">
        <v>500</v>
      </c>
      <c r="F2145" s="463">
        <f t="shared" si="25"/>
        <v>0.93720185266062228</v>
      </c>
      <c r="G2145" s="464">
        <v>533.50300000000004</v>
      </c>
      <c r="H2145" s="174" t="s">
        <v>199</v>
      </c>
      <c r="I2145" s="216" t="s">
        <v>2911</v>
      </c>
      <c r="J2145" s="247" t="s">
        <v>97</v>
      </c>
      <c r="K2145" s="247" t="s">
        <v>1133</v>
      </c>
      <c r="L2145" s="247" t="s">
        <v>154</v>
      </c>
      <c r="M2145" s="414"/>
      <c r="N2145" s="414"/>
    </row>
    <row r="2146" spans="1:14" ht="15.6">
      <c r="A2146" s="474">
        <v>45906</v>
      </c>
      <c r="B2146" s="475" t="s">
        <v>3779</v>
      </c>
      <c r="C2146" s="475" t="s">
        <v>173</v>
      </c>
      <c r="D2146" s="179" t="s">
        <v>442</v>
      </c>
      <c r="E2146" s="475">
        <v>1000</v>
      </c>
      <c r="F2146" s="463">
        <f t="shared" si="25"/>
        <v>1.8744037053212446</v>
      </c>
      <c r="G2146" s="464">
        <v>533.50300000000004</v>
      </c>
      <c r="H2146" s="475" t="s">
        <v>183</v>
      </c>
      <c r="I2146" s="475" t="s">
        <v>3086</v>
      </c>
      <c r="J2146" s="247" t="s">
        <v>97</v>
      </c>
      <c r="K2146" s="247" t="s">
        <v>1133</v>
      </c>
      <c r="L2146" s="247" t="s">
        <v>154</v>
      </c>
      <c r="M2146" s="335"/>
      <c r="N2146" s="335"/>
    </row>
    <row r="2147" spans="1:14" ht="15.6">
      <c r="A2147" s="474">
        <v>45906</v>
      </c>
      <c r="B2147" s="475" t="s">
        <v>3779</v>
      </c>
      <c r="C2147" s="475" t="s">
        <v>173</v>
      </c>
      <c r="D2147" s="179" t="s">
        <v>442</v>
      </c>
      <c r="E2147" s="475">
        <v>1000</v>
      </c>
      <c r="F2147" s="463">
        <f t="shared" si="25"/>
        <v>1.8744037053212446</v>
      </c>
      <c r="G2147" s="464">
        <v>533.50300000000004</v>
      </c>
      <c r="H2147" s="475" t="s">
        <v>183</v>
      </c>
      <c r="I2147" s="475" t="s">
        <v>3086</v>
      </c>
      <c r="J2147" s="247" t="s">
        <v>97</v>
      </c>
      <c r="K2147" s="247" t="s">
        <v>1133</v>
      </c>
      <c r="L2147" s="247" t="s">
        <v>154</v>
      </c>
      <c r="M2147" s="335"/>
      <c r="N2147" s="335"/>
    </row>
    <row r="2148" spans="1:14" ht="15.6">
      <c r="A2148" s="474">
        <v>45906</v>
      </c>
      <c r="B2148" s="475" t="s">
        <v>3779</v>
      </c>
      <c r="C2148" s="475" t="s">
        <v>173</v>
      </c>
      <c r="D2148" s="179" t="s">
        <v>442</v>
      </c>
      <c r="E2148" s="475">
        <v>1000</v>
      </c>
      <c r="F2148" s="463">
        <f t="shared" si="25"/>
        <v>1.8744037053212446</v>
      </c>
      <c r="G2148" s="464">
        <v>533.50300000000004</v>
      </c>
      <c r="H2148" s="475" t="s">
        <v>183</v>
      </c>
      <c r="I2148" s="475" t="s">
        <v>3086</v>
      </c>
      <c r="J2148" s="247" t="s">
        <v>97</v>
      </c>
      <c r="K2148" s="247" t="s">
        <v>1133</v>
      </c>
      <c r="L2148" s="247" t="s">
        <v>154</v>
      </c>
      <c r="M2148" s="335"/>
      <c r="N2148" s="335"/>
    </row>
    <row r="2149" spans="1:14" ht="15.6">
      <c r="A2149" s="474">
        <v>45906</v>
      </c>
      <c r="B2149" s="475" t="s">
        <v>3779</v>
      </c>
      <c r="C2149" s="475" t="s">
        <v>173</v>
      </c>
      <c r="D2149" s="179" t="s">
        <v>442</v>
      </c>
      <c r="E2149" s="475">
        <v>1000</v>
      </c>
      <c r="F2149" s="463">
        <f t="shared" si="25"/>
        <v>1.8744037053212446</v>
      </c>
      <c r="G2149" s="464">
        <v>533.50300000000004</v>
      </c>
      <c r="H2149" s="475" t="s">
        <v>183</v>
      </c>
      <c r="I2149" s="475" t="s">
        <v>3086</v>
      </c>
      <c r="J2149" s="247" t="s">
        <v>97</v>
      </c>
      <c r="K2149" s="247" t="s">
        <v>1133</v>
      </c>
      <c r="L2149" s="247" t="s">
        <v>154</v>
      </c>
      <c r="M2149" s="335"/>
      <c r="N2149" s="335"/>
    </row>
    <row r="2150" spans="1:14" ht="15.6">
      <c r="A2150" s="474">
        <v>45906</v>
      </c>
      <c r="B2150" s="475" t="s">
        <v>3007</v>
      </c>
      <c r="C2150" s="475" t="s">
        <v>173</v>
      </c>
      <c r="D2150" s="179" t="s">
        <v>442</v>
      </c>
      <c r="E2150" s="475">
        <v>1000</v>
      </c>
      <c r="F2150" s="463">
        <f t="shared" ref="F2150:F2213" si="26">E2150/G2150</f>
        <v>1.8744037053212446</v>
      </c>
      <c r="G2150" s="464">
        <v>533.50300000000004</v>
      </c>
      <c r="H2150" s="475" t="s">
        <v>183</v>
      </c>
      <c r="I2150" s="475" t="s">
        <v>3086</v>
      </c>
      <c r="J2150" s="247" t="s">
        <v>97</v>
      </c>
      <c r="K2150" s="247" t="s">
        <v>1133</v>
      </c>
      <c r="L2150" s="247" t="s">
        <v>154</v>
      </c>
      <c r="M2150" s="335"/>
      <c r="N2150" s="335"/>
    </row>
    <row r="2151" spans="1:14" ht="15.6">
      <c r="A2151" s="474">
        <v>45906</v>
      </c>
      <c r="B2151" s="475" t="s">
        <v>3003</v>
      </c>
      <c r="C2151" s="475" t="s">
        <v>368</v>
      </c>
      <c r="D2151" s="179" t="s">
        <v>442</v>
      </c>
      <c r="E2151" s="475">
        <v>2000</v>
      </c>
      <c r="F2151" s="463">
        <f t="shared" si="26"/>
        <v>3.7488074106424891</v>
      </c>
      <c r="G2151" s="464">
        <v>533.50300000000004</v>
      </c>
      <c r="H2151" s="475" t="s">
        <v>183</v>
      </c>
      <c r="I2151" s="475" t="s">
        <v>3092</v>
      </c>
      <c r="J2151" s="247" t="s">
        <v>97</v>
      </c>
      <c r="K2151" s="247" t="s">
        <v>1133</v>
      </c>
      <c r="L2151" s="247" t="s">
        <v>154</v>
      </c>
      <c r="M2151" s="414"/>
      <c r="N2151" s="414"/>
    </row>
    <row r="2152" spans="1:14" ht="15.6">
      <c r="A2152" s="476">
        <v>45906</v>
      </c>
      <c r="B2152" s="469" t="s">
        <v>3917</v>
      </c>
      <c r="C2152" s="469" t="s">
        <v>173</v>
      </c>
      <c r="D2152" s="179" t="s">
        <v>442</v>
      </c>
      <c r="E2152" s="469">
        <v>1000</v>
      </c>
      <c r="F2152" s="463">
        <f t="shared" si="26"/>
        <v>1.8744037053212446</v>
      </c>
      <c r="G2152" s="464">
        <v>533.50300000000004</v>
      </c>
      <c r="H2152" s="469" t="s">
        <v>174</v>
      </c>
      <c r="I2152" s="469" t="s">
        <v>3196</v>
      </c>
      <c r="J2152" s="247" t="s">
        <v>97</v>
      </c>
      <c r="K2152" s="247" t="s">
        <v>1133</v>
      </c>
      <c r="L2152" s="247" t="s">
        <v>154</v>
      </c>
      <c r="M2152" s="414"/>
      <c r="N2152" s="414"/>
    </row>
    <row r="2153" spans="1:14" ht="15.6">
      <c r="A2153" s="476">
        <v>45906</v>
      </c>
      <c r="B2153" s="469" t="s">
        <v>3878</v>
      </c>
      <c r="C2153" s="469" t="s">
        <v>173</v>
      </c>
      <c r="D2153" s="179" t="s">
        <v>442</v>
      </c>
      <c r="E2153" s="469">
        <v>3000</v>
      </c>
      <c r="F2153" s="463">
        <f t="shared" si="26"/>
        <v>5.6232111159637332</v>
      </c>
      <c r="G2153" s="464">
        <v>533.50300000000004</v>
      </c>
      <c r="H2153" s="469" t="s">
        <v>174</v>
      </c>
      <c r="I2153" s="469" t="s">
        <v>3202</v>
      </c>
      <c r="J2153" s="247" t="s">
        <v>97</v>
      </c>
      <c r="K2153" s="247" t="s">
        <v>1133</v>
      </c>
      <c r="L2153" s="247" t="s">
        <v>154</v>
      </c>
      <c r="M2153" s="414"/>
      <c r="N2153" s="414"/>
    </row>
    <row r="2154" spans="1:14" ht="15.6">
      <c r="A2154" s="476">
        <v>45906</v>
      </c>
      <c r="B2154" s="469" t="s">
        <v>3918</v>
      </c>
      <c r="C2154" s="469" t="s">
        <v>173</v>
      </c>
      <c r="D2154" s="179" t="s">
        <v>442</v>
      </c>
      <c r="E2154" s="469">
        <v>1000</v>
      </c>
      <c r="F2154" s="463">
        <f t="shared" si="26"/>
        <v>1.8744037053212446</v>
      </c>
      <c r="G2154" s="464">
        <v>533.50300000000004</v>
      </c>
      <c r="H2154" s="469" t="s">
        <v>174</v>
      </c>
      <c r="I2154" s="469" t="s">
        <v>3196</v>
      </c>
      <c r="J2154" s="247" t="s">
        <v>97</v>
      </c>
      <c r="K2154" s="247" t="s">
        <v>1133</v>
      </c>
      <c r="L2154" s="247" t="s">
        <v>154</v>
      </c>
      <c r="M2154" s="414"/>
      <c r="N2154" s="414"/>
    </row>
    <row r="2155" spans="1:14" ht="15.6">
      <c r="A2155" s="476">
        <v>45906</v>
      </c>
      <c r="B2155" s="469" t="s">
        <v>3919</v>
      </c>
      <c r="C2155" s="469" t="s">
        <v>173</v>
      </c>
      <c r="D2155" s="179" t="s">
        <v>442</v>
      </c>
      <c r="E2155" s="469">
        <v>1000</v>
      </c>
      <c r="F2155" s="463">
        <f t="shared" si="26"/>
        <v>1.8744037053212446</v>
      </c>
      <c r="G2155" s="464">
        <v>533.50300000000004</v>
      </c>
      <c r="H2155" s="469" t="s">
        <v>174</v>
      </c>
      <c r="I2155" s="469" t="s">
        <v>3196</v>
      </c>
      <c r="J2155" s="247" t="s">
        <v>97</v>
      </c>
      <c r="K2155" s="247" t="s">
        <v>1133</v>
      </c>
      <c r="L2155" s="247" t="s">
        <v>154</v>
      </c>
      <c r="M2155" s="414"/>
      <c r="N2155" s="414"/>
    </row>
    <row r="2156" spans="1:14" ht="15.6">
      <c r="A2156" s="476">
        <v>45906</v>
      </c>
      <c r="B2156" s="469" t="s">
        <v>3919</v>
      </c>
      <c r="C2156" s="469" t="s">
        <v>173</v>
      </c>
      <c r="D2156" s="179" t="s">
        <v>442</v>
      </c>
      <c r="E2156" s="469">
        <v>1000</v>
      </c>
      <c r="F2156" s="463">
        <f t="shared" si="26"/>
        <v>1.8744037053212446</v>
      </c>
      <c r="G2156" s="464">
        <v>533.50300000000004</v>
      </c>
      <c r="H2156" s="469" t="s">
        <v>174</v>
      </c>
      <c r="I2156" s="469" t="s">
        <v>3196</v>
      </c>
      <c r="J2156" s="247" t="s">
        <v>97</v>
      </c>
      <c r="K2156" s="247" t="s">
        <v>1133</v>
      </c>
      <c r="L2156" s="247" t="s">
        <v>154</v>
      </c>
      <c r="M2156" s="414"/>
      <c r="N2156" s="414"/>
    </row>
    <row r="2157" spans="1:14" ht="15.6">
      <c r="A2157" s="476">
        <v>45906</v>
      </c>
      <c r="B2157" s="469" t="s">
        <v>3920</v>
      </c>
      <c r="C2157" s="469" t="s">
        <v>173</v>
      </c>
      <c r="D2157" s="179" t="s">
        <v>442</v>
      </c>
      <c r="E2157" s="469">
        <v>1000</v>
      </c>
      <c r="F2157" s="463">
        <f t="shared" si="26"/>
        <v>1.8744037053212446</v>
      </c>
      <c r="G2157" s="464">
        <v>533.50300000000004</v>
      </c>
      <c r="H2157" s="469" t="s">
        <v>174</v>
      </c>
      <c r="I2157" s="469" t="s">
        <v>3196</v>
      </c>
      <c r="J2157" s="247" t="s">
        <v>97</v>
      </c>
      <c r="K2157" s="247" t="s">
        <v>1133</v>
      </c>
      <c r="L2157" s="247" t="s">
        <v>154</v>
      </c>
      <c r="M2157" s="414"/>
      <c r="N2157" s="414"/>
    </row>
    <row r="2158" spans="1:14" ht="15.6">
      <c r="A2158" s="476">
        <v>45906</v>
      </c>
      <c r="B2158" s="469" t="s">
        <v>3870</v>
      </c>
      <c r="C2158" s="469" t="s">
        <v>173</v>
      </c>
      <c r="D2158" s="179" t="s">
        <v>442</v>
      </c>
      <c r="E2158" s="469">
        <v>3000</v>
      </c>
      <c r="F2158" s="463">
        <f t="shared" si="26"/>
        <v>5.6232111159637332</v>
      </c>
      <c r="G2158" s="464">
        <v>533.50300000000004</v>
      </c>
      <c r="H2158" s="469" t="s">
        <v>174</v>
      </c>
      <c r="I2158" s="469" t="s">
        <v>3203</v>
      </c>
      <c r="J2158" s="247" t="s">
        <v>97</v>
      </c>
      <c r="K2158" s="247" t="s">
        <v>1133</v>
      </c>
      <c r="L2158" s="247" t="s">
        <v>154</v>
      </c>
      <c r="M2158" s="414"/>
      <c r="N2158" s="414"/>
    </row>
    <row r="2159" spans="1:14" ht="15.6">
      <c r="A2159" s="476">
        <v>45906</v>
      </c>
      <c r="B2159" s="469" t="s">
        <v>3118</v>
      </c>
      <c r="C2159" s="469" t="s">
        <v>368</v>
      </c>
      <c r="D2159" s="179" t="s">
        <v>442</v>
      </c>
      <c r="E2159" s="469">
        <v>1500</v>
      </c>
      <c r="F2159" s="463">
        <f t="shared" si="26"/>
        <v>2.8116055579818666</v>
      </c>
      <c r="G2159" s="464">
        <v>533.50300000000004</v>
      </c>
      <c r="H2159" s="469" t="s">
        <v>174</v>
      </c>
      <c r="I2159" s="469" t="s">
        <v>3201</v>
      </c>
      <c r="J2159" s="247" t="s">
        <v>97</v>
      </c>
      <c r="K2159" s="247" t="s">
        <v>1133</v>
      </c>
      <c r="L2159" s="247" t="s">
        <v>154</v>
      </c>
      <c r="M2159" s="414"/>
      <c r="N2159" s="414"/>
    </row>
    <row r="2160" spans="1:14" ht="15.6">
      <c r="A2160" s="476">
        <v>45906</v>
      </c>
      <c r="B2160" s="469" t="s">
        <v>3921</v>
      </c>
      <c r="C2160" s="469" t="s">
        <v>173</v>
      </c>
      <c r="D2160" s="179" t="s">
        <v>442</v>
      </c>
      <c r="E2160" s="469">
        <v>1000</v>
      </c>
      <c r="F2160" s="463">
        <f t="shared" si="26"/>
        <v>1.8744037053212446</v>
      </c>
      <c r="G2160" s="464">
        <v>533.50300000000004</v>
      </c>
      <c r="H2160" s="469" t="s">
        <v>174</v>
      </c>
      <c r="I2160" s="469" t="s">
        <v>3196</v>
      </c>
      <c r="J2160" s="247" t="s">
        <v>97</v>
      </c>
      <c r="K2160" s="247" t="s">
        <v>1133</v>
      </c>
      <c r="L2160" s="247" t="s">
        <v>154</v>
      </c>
      <c r="M2160" s="414"/>
      <c r="N2160" s="414"/>
    </row>
    <row r="2161" spans="1:14" ht="15.6">
      <c r="A2161" s="476">
        <v>45906</v>
      </c>
      <c r="B2161" s="469" t="s">
        <v>3740</v>
      </c>
      <c r="C2161" s="469" t="s">
        <v>173</v>
      </c>
      <c r="D2161" s="179" t="s">
        <v>442</v>
      </c>
      <c r="E2161" s="469">
        <v>700</v>
      </c>
      <c r="F2161" s="463">
        <f t="shared" si="26"/>
        <v>1.3120825937248712</v>
      </c>
      <c r="G2161" s="464">
        <v>533.50300000000004</v>
      </c>
      <c r="H2161" s="469" t="s">
        <v>316</v>
      </c>
      <c r="I2161" s="469" t="s">
        <v>3260</v>
      </c>
      <c r="J2161" s="247" t="s">
        <v>97</v>
      </c>
      <c r="K2161" s="247" t="s">
        <v>1133</v>
      </c>
      <c r="L2161" s="247" t="s">
        <v>154</v>
      </c>
      <c r="M2161" s="335"/>
      <c r="N2161" s="335"/>
    </row>
    <row r="2162" spans="1:14" ht="15.6">
      <c r="A2162" s="476">
        <v>45906</v>
      </c>
      <c r="B2162" s="469" t="s">
        <v>3221</v>
      </c>
      <c r="C2162" s="469" t="s">
        <v>365</v>
      </c>
      <c r="D2162" s="179" t="s">
        <v>442</v>
      </c>
      <c r="E2162" s="469">
        <v>1500</v>
      </c>
      <c r="F2162" s="463">
        <f t="shared" si="26"/>
        <v>2.8116055579818666</v>
      </c>
      <c r="G2162" s="464">
        <v>533.50300000000004</v>
      </c>
      <c r="H2162" s="469" t="s">
        <v>316</v>
      </c>
      <c r="I2162" s="469" t="s">
        <v>3263</v>
      </c>
      <c r="J2162" s="247" t="s">
        <v>97</v>
      </c>
      <c r="K2162" s="247" t="s">
        <v>1133</v>
      </c>
      <c r="L2162" s="247" t="s">
        <v>154</v>
      </c>
      <c r="M2162" s="335"/>
      <c r="N2162" s="335"/>
    </row>
    <row r="2163" spans="1:14" ht="15.6">
      <c r="A2163" s="476">
        <v>45906</v>
      </c>
      <c r="B2163" s="469" t="s">
        <v>3737</v>
      </c>
      <c r="C2163" s="469" t="s">
        <v>173</v>
      </c>
      <c r="D2163" s="179" t="s">
        <v>442</v>
      </c>
      <c r="E2163" s="469">
        <v>700</v>
      </c>
      <c r="F2163" s="463">
        <f t="shared" si="26"/>
        <v>1.3120825937248712</v>
      </c>
      <c r="G2163" s="464">
        <v>533.50300000000004</v>
      </c>
      <c r="H2163" s="469" t="s">
        <v>316</v>
      </c>
      <c r="I2163" s="469" t="s">
        <v>3260</v>
      </c>
      <c r="J2163" s="247" t="s">
        <v>97</v>
      </c>
      <c r="K2163" s="247" t="s">
        <v>1133</v>
      </c>
      <c r="L2163" s="247" t="s">
        <v>154</v>
      </c>
      <c r="M2163" s="335"/>
      <c r="N2163" s="335"/>
    </row>
    <row r="2164" spans="1:14" ht="15.6">
      <c r="A2164" s="476">
        <v>45906</v>
      </c>
      <c r="B2164" s="469" t="s">
        <v>3737</v>
      </c>
      <c r="C2164" s="469" t="s">
        <v>173</v>
      </c>
      <c r="D2164" s="179" t="s">
        <v>442</v>
      </c>
      <c r="E2164" s="469">
        <v>700</v>
      </c>
      <c r="F2164" s="463">
        <f t="shared" si="26"/>
        <v>1.3120825937248712</v>
      </c>
      <c r="G2164" s="464">
        <v>533.50300000000004</v>
      </c>
      <c r="H2164" s="469" t="s">
        <v>316</v>
      </c>
      <c r="I2164" s="469" t="s">
        <v>3260</v>
      </c>
      <c r="J2164" s="247" t="s">
        <v>97</v>
      </c>
      <c r="K2164" s="247" t="s">
        <v>1133</v>
      </c>
      <c r="L2164" s="247" t="s">
        <v>154</v>
      </c>
      <c r="M2164" s="335"/>
      <c r="N2164" s="335"/>
    </row>
    <row r="2165" spans="1:14" ht="15.6">
      <c r="A2165" s="476">
        <v>45906</v>
      </c>
      <c r="B2165" s="469" t="s">
        <v>3221</v>
      </c>
      <c r="C2165" s="469" t="s">
        <v>365</v>
      </c>
      <c r="D2165" s="179" t="s">
        <v>442</v>
      </c>
      <c r="E2165" s="469">
        <v>2000</v>
      </c>
      <c r="F2165" s="463">
        <f t="shared" si="26"/>
        <v>3.7488074106424891</v>
      </c>
      <c r="G2165" s="464">
        <v>533.50300000000004</v>
      </c>
      <c r="H2165" s="469" t="s">
        <v>316</v>
      </c>
      <c r="I2165" s="469" t="s">
        <v>3263</v>
      </c>
      <c r="J2165" s="247" t="s">
        <v>97</v>
      </c>
      <c r="K2165" s="247" t="s">
        <v>1133</v>
      </c>
      <c r="L2165" s="247" t="s">
        <v>154</v>
      </c>
      <c r="M2165" s="335"/>
      <c r="N2165" s="335"/>
    </row>
    <row r="2166" spans="1:14" ht="15.6">
      <c r="A2166" s="476">
        <v>45906</v>
      </c>
      <c r="B2166" s="469" t="s">
        <v>3741</v>
      </c>
      <c r="C2166" s="469" t="s">
        <v>173</v>
      </c>
      <c r="D2166" s="179" t="s">
        <v>442</v>
      </c>
      <c r="E2166" s="469">
        <v>700</v>
      </c>
      <c r="F2166" s="463">
        <f t="shared" si="26"/>
        <v>1.3120825937248712</v>
      </c>
      <c r="G2166" s="464">
        <v>533.50300000000004</v>
      </c>
      <c r="H2166" s="469" t="s">
        <v>316</v>
      </c>
      <c r="I2166" s="469" t="s">
        <v>3260</v>
      </c>
      <c r="J2166" s="247" t="s">
        <v>97</v>
      </c>
      <c r="K2166" s="247" t="s">
        <v>1133</v>
      </c>
      <c r="L2166" s="247" t="s">
        <v>154</v>
      </c>
      <c r="M2166" s="335"/>
      <c r="N2166" s="335"/>
    </row>
    <row r="2167" spans="1:14" ht="15.6">
      <c r="A2167" s="471">
        <v>45906</v>
      </c>
      <c r="B2167" s="469" t="s">
        <v>3342</v>
      </c>
      <c r="C2167" s="247" t="s">
        <v>176</v>
      </c>
      <c r="D2167" s="247" t="s">
        <v>116</v>
      </c>
      <c r="E2167" s="468">
        <v>15000</v>
      </c>
      <c r="F2167" s="463">
        <f t="shared" si="26"/>
        <v>28.116055579818667</v>
      </c>
      <c r="G2167" s="464">
        <v>533.50300000000004</v>
      </c>
      <c r="H2167" s="247" t="s">
        <v>192</v>
      </c>
      <c r="I2167" s="469" t="s">
        <v>3366</v>
      </c>
      <c r="J2167" s="247" t="s">
        <v>97</v>
      </c>
      <c r="K2167" s="247" t="s">
        <v>1133</v>
      </c>
      <c r="L2167" s="247" t="s">
        <v>154</v>
      </c>
      <c r="M2167" s="127"/>
      <c r="N2167" s="127"/>
    </row>
    <row r="2168" spans="1:14" ht="15.6">
      <c r="A2168" s="471">
        <v>45906</v>
      </c>
      <c r="B2168" s="469" t="s">
        <v>2645</v>
      </c>
      <c r="C2168" s="247" t="s">
        <v>173</v>
      </c>
      <c r="D2168" s="247" t="s">
        <v>116</v>
      </c>
      <c r="E2168" s="468">
        <v>500</v>
      </c>
      <c r="F2168" s="463">
        <f t="shared" si="26"/>
        <v>0.93720185266062228</v>
      </c>
      <c r="G2168" s="464">
        <v>533.50300000000004</v>
      </c>
      <c r="H2168" s="247" t="s">
        <v>192</v>
      </c>
      <c r="I2168" s="469" t="s">
        <v>3360</v>
      </c>
      <c r="J2168" s="247" t="s">
        <v>97</v>
      </c>
      <c r="K2168" s="247" t="s">
        <v>1133</v>
      </c>
      <c r="L2168" s="247" t="s">
        <v>154</v>
      </c>
      <c r="M2168" s="127"/>
      <c r="N2168" s="127"/>
    </row>
    <row r="2169" spans="1:14" ht="15.6">
      <c r="A2169" s="471">
        <v>45906</v>
      </c>
      <c r="B2169" s="469" t="s">
        <v>3343</v>
      </c>
      <c r="C2169" s="247" t="s">
        <v>173</v>
      </c>
      <c r="D2169" s="247" t="s">
        <v>116</v>
      </c>
      <c r="E2169" s="468">
        <v>500</v>
      </c>
      <c r="F2169" s="463">
        <f t="shared" si="26"/>
        <v>0.93720185266062228</v>
      </c>
      <c r="G2169" s="464">
        <v>533.50300000000004</v>
      </c>
      <c r="H2169" s="247" t="s">
        <v>192</v>
      </c>
      <c r="I2169" s="469" t="s">
        <v>3360</v>
      </c>
      <c r="J2169" s="247" t="s">
        <v>97</v>
      </c>
      <c r="K2169" s="247" t="s">
        <v>1133</v>
      </c>
      <c r="L2169" s="247" t="s">
        <v>154</v>
      </c>
      <c r="M2169" s="76"/>
      <c r="N2169" s="76"/>
    </row>
    <row r="2170" spans="1:14" ht="15.6">
      <c r="A2170" s="461">
        <v>45906</v>
      </c>
      <c r="B2170" s="469" t="s">
        <v>3383</v>
      </c>
      <c r="C2170" s="359" t="s">
        <v>195</v>
      </c>
      <c r="D2170" s="359" t="s">
        <v>116</v>
      </c>
      <c r="E2170" s="472">
        <v>500</v>
      </c>
      <c r="F2170" s="463">
        <f t="shared" si="26"/>
        <v>0.93720185266062228</v>
      </c>
      <c r="G2170" s="464">
        <v>533.50300000000004</v>
      </c>
      <c r="H2170" s="256" t="s">
        <v>196</v>
      </c>
      <c r="I2170" s="469" t="s">
        <v>3411</v>
      </c>
      <c r="J2170" s="247" t="s">
        <v>97</v>
      </c>
      <c r="K2170" s="247" t="s">
        <v>1133</v>
      </c>
      <c r="L2170" s="247" t="s">
        <v>154</v>
      </c>
      <c r="M2170" s="76"/>
      <c r="N2170" s="76"/>
    </row>
    <row r="2171" spans="1:14" ht="15.6">
      <c r="A2171" s="461">
        <v>45906</v>
      </c>
      <c r="B2171" s="469" t="s">
        <v>3381</v>
      </c>
      <c r="C2171" s="359" t="s">
        <v>195</v>
      </c>
      <c r="D2171" s="359" t="s">
        <v>116</v>
      </c>
      <c r="E2171" s="472">
        <v>500</v>
      </c>
      <c r="F2171" s="463">
        <f t="shared" si="26"/>
        <v>0.93720185266062228</v>
      </c>
      <c r="G2171" s="464">
        <v>533.50300000000004</v>
      </c>
      <c r="H2171" s="256" t="s">
        <v>196</v>
      </c>
      <c r="I2171" s="469" t="s">
        <v>3411</v>
      </c>
      <c r="J2171" s="247" t="s">
        <v>97</v>
      </c>
      <c r="K2171" s="247" t="s">
        <v>1133</v>
      </c>
      <c r="L2171" s="247" t="s">
        <v>154</v>
      </c>
      <c r="M2171" s="76"/>
      <c r="N2171" s="76"/>
    </row>
    <row r="2172" spans="1:14" ht="15.6">
      <c r="A2172" s="461">
        <v>45906</v>
      </c>
      <c r="B2172" s="469" t="s">
        <v>3377</v>
      </c>
      <c r="C2172" s="359" t="s">
        <v>195</v>
      </c>
      <c r="D2172" s="359" t="s">
        <v>116</v>
      </c>
      <c r="E2172" s="472">
        <v>500</v>
      </c>
      <c r="F2172" s="463">
        <f t="shared" si="26"/>
        <v>0.93720185266062228</v>
      </c>
      <c r="G2172" s="464">
        <v>533.50300000000004</v>
      </c>
      <c r="H2172" s="256" t="s">
        <v>196</v>
      </c>
      <c r="I2172" s="469" t="s">
        <v>3411</v>
      </c>
      <c r="J2172" s="247" t="s">
        <v>97</v>
      </c>
      <c r="K2172" s="247" t="s">
        <v>1133</v>
      </c>
      <c r="L2172" s="247" t="s">
        <v>154</v>
      </c>
      <c r="M2172" s="76"/>
      <c r="N2172" s="76"/>
    </row>
    <row r="2173" spans="1:14" ht="15.6">
      <c r="A2173" s="461">
        <v>45907</v>
      </c>
      <c r="B2173" s="469" t="s">
        <v>3382</v>
      </c>
      <c r="C2173" s="359" t="s">
        <v>195</v>
      </c>
      <c r="D2173" s="359" t="s">
        <v>116</v>
      </c>
      <c r="E2173" s="472">
        <v>500</v>
      </c>
      <c r="F2173" s="463">
        <f t="shared" si="26"/>
        <v>0.93720185266062228</v>
      </c>
      <c r="G2173" s="464">
        <v>533.50300000000004</v>
      </c>
      <c r="H2173" s="256" t="s">
        <v>196</v>
      </c>
      <c r="I2173" s="469" t="s">
        <v>3411</v>
      </c>
      <c r="J2173" s="247" t="s">
        <v>97</v>
      </c>
      <c r="K2173" s="247" t="s">
        <v>1133</v>
      </c>
      <c r="L2173" s="247" t="s">
        <v>154</v>
      </c>
      <c r="M2173" s="76"/>
      <c r="N2173" s="76"/>
    </row>
    <row r="2174" spans="1:14" ht="15.6">
      <c r="A2174" s="476">
        <v>45907</v>
      </c>
      <c r="B2174" s="359" t="s">
        <v>2849</v>
      </c>
      <c r="C2174" s="462" t="s">
        <v>126</v>
      </c>
      <c r="D2174" s="462" t="s">
        <v>118</v>
      </c>
      <c r="E2174" s="359">
        <v>174625</v>
      </c>
      <c r="F2174" s="463">
        <f t="shared" si="26"/>
        <v>327.31774704172233</v>
      </c>
      <c r="G2174" s="464">
        <v>533.50300000000004</v>
      </c>
      <c r="H2174" s="465" t="s">
        <v>152</v>
      </c>
      <c r="I2174" s="469" t="s">
        <v>2871</v>
      </c>
      <c r="J2174" s="247" t="s">
        <v>97</v>
      </c>
      <c r="K2174" s="247" t="s">
        <v>1133</v>
      </c>
      <c r="L2174" s="247" t="s">
        <v>154</v>
      </c>
      <c r="M2174" s="335"/>
      <c r="N2174" s="335"/>
    </row>
    <row r="2175" spans="1:14" ht="15.6">
      <c r="A2175" s="476">
        <v>45907</v>
      </c>
      <c r="B2175" s="359" t="s">
        <v>2100</v>
      </c>
      <c r="C2175" s="462" t="s">
        <v>173</v>
      </c>
      <c r="D2175" s="462" t="s">
        <v>118</v>
      </c>
      <c r="E2175" s="359">
        <v>1000</v>
      </c>
      <c r="F2175" s="463">
        <f t="shared" si="26"/>
        <v>1.8744037053212446</v>
      </c>
      <c r="G2175" s="464">
        <v>533.50300000000004</v>
      </c>
      <c r="H2175" s="465" t="s">
        <v>152</v>
      </c>
      <c r="I2175" s="469" t="s">
        <v>2868</v>
      </c>
      <c r="J2175" s="247" t="s">
        <v>97</v>
      </c>
      <c r="K2175" s="247" t="s">
        <v>1133</v>
      </c>
      <c r="L2175" s="247" t="s">
        <v>154</v>
      </c>
      <c r="M2175" s="335"/>
      <c r="N2175" s="335"/>
    </row>
    <row r="2176" spans="1:14" ht="15.6">
      <c r="A2176" s="476">
        <v>45907</v>
      </c>
      <c r="B2176" s="359" t="s">
        <v>2101</v>
      </c>
      <c r="C2176" s="462" t="s">
        <v>173</v>
      </c>
      <c r="D2176" s="462" t="s">
        <v>118</v>
      </c>
      <c r="E2176" s="359">
        <v>1000</v>
      </c>
      <c r="F2176" s="463">
        <f t="shared" si="26"/>
        <v>1.8744037053212446</v>
      </c>
      <c r="G2176" s="464">
        <v>533.50300000000004</v>
      </c>
      <c r="H2176" s="465" t="s">
        <v>152</v>
      </c>
      <c r="I2176" s="469" t="s">
        <v>2868</v>
      </c>
      <c r="J2176" s="247" t="s">
        <v>97</v>
      </c>
      <c r="K2176" s="247" t="s">
        <v>1133</v>
      </c>
      <c r="L2176" s="247" t="s">
        <v>154</v>
      </c>
      <c r="M2176" s="335"/>
      <c r="N2176" s="335"/>
    </row>
    <row r="2177" spans="1:14" ht="15.6">
      <c r="A2177" s="474">
        <v>45907</v>
      </c>
      <c r="B2177" s="216" t="s">
        <v>2419</v>
      </c>
      <c r="C2177" s="216" t="s">
        <v>173</v>
      </c>
      <c r="D2177" s="337" t="s">
        <v>116</v>
      </c>
      <c r="E2177" s="475">
        <v>500</v>
      </c>
      <c r="F2177" s="463">
        <f t="shared" si="26"/>
        <v>0.93720185266062228</v>
      </c>
      <c r="G2177" s="464">
        <v>533.50300000000004</v>
      </c>
      <c r="H2177" s="174" t="s">
        <v>199</v>
      </c>
      <c r="I2177" s="216" t="s">
        <v>2911</v>
      </c>
      <c r="J2177" s="247" t="s">
        <v>97</v>
      </c>
      <c r="K2177" s="247" t="s">
        <v>1133</v>
      </c>
      <c r="L2177" s="247" t="s">
        <v>154</v>
      </c>
      <c r="M2177" s="414"/>
      <c r="N2177" s="414"/>
    </row>
    <row r="2178" spans="1:14" ht="15.6">
      <c r="A2178" s="474">
        <v>45907</v>
      </c>
      <c r="B2178" s="216" t="s">
        <v>2418</v>
      </c>
      <c r="C2178" s="216" t="s">
        <v>173</v>
      </c>
      <c r="D2178" s="337" t="s">
        <v>116</v>
      </c>
      <c r="E2178" s="475">
        <v>500</v>
      </c>
      <c r="F2178" s="463">
        <f t="shared" si="26"/>
        <v>0.93720185266062228</v>
      </c>
      <c r="G2178" s="464">
        <v>533.50300000000004</v>
      </c>
      <c r="H2178" s="174" t="s">
        <v>199</v>
      </c>
      <c r="I2178" s="216" t="s">
        <v>2911</v>
      </c>
      <c r="J2178" s="247" t="s">
        <v>97</v>
      </c>
      <c r="K2178" s="247" t="s">
        <v>1133</v>
      </c>
      <c r="L2178" s="247" t="s">
        <v>154</v>
      </c>
      <c r="M2178" s="414"/>
      <c r="N2178" s="414"/>
    </row>
    <row r="2179" spans="1:14" ht="15.6">
      <c r="A2179" s="474">
        <v>45907</v>
      </c>
      <c r="B2179" s="216" t="s">
        <v>2882</v>
      </c>
      <c r="C2179" s="216" t="s">
        <v>173</v>
      </c>
      <c r="D2179" s="337" t="s">
        <v>116</v>
      </c>
      <c r="E2179" s="475">
        <v>50000</v>
      </c>
      <c r="F2179" s="463">
        <f t="shared" si="26"/>
        <v>93.720185266062231</v>
      </c>
      <c r="G2179" s="464">
        <v>533.50300000000004</v>
      </c>
      <c r="H2179" s="174" t="s">
        <v>199</v>
      </c>
      <c r="I2179" s="216" t="s">
        <v>2912</v>
      </c>
      <c r="J2179" s="247" t="s">
        <v>97</v>
      </c>
      <c r="K2179" s="247" t="s">
        <v>1133</v>
      </c>
      <c r="L2179" s="247" t="s">
        <v>154</v>
      </c>
      <c r="M2179" s="414"/>
      <c r="N2179" s="414"/>
    </row>
    <row r="2180" spans="1:14" ht="15.6">
      <c r="A2180" s="474">
        <v>45907</v>
      </c>
      <c r="B2180" s="216" t="s">
        <v>3634</v>
      </c>
      <c r="C2180" s="216" t="s">
        <v>2391</v>
      </c>
      <c r="D2180" s="337" t="s">
        <v>116</v>
      </c>
      <c r="E2180" s="475">
        <v>24400</v>
      </c>
      <c r="F2180" s="463">
        <f t="shared" si="26"/>
        <v>45.735450409838364</v>
      </c>
      <c r="G2180" s="464">
        <v>533.50300000000004</v>
      </c>
      <c r="H2180" s="174" t="s">
        <v>199</v>
      </c>
      <c r="I2180" s="216" t="s">
        <v>2913</v>
      </c>
      <c r="J2180" s="247" t="s">
        <v>97</v>
      </c>
      <c r="K2180" s="247" t="s">
        <v>1133</v>
      </c>
      <c r="L2180" s="247" t="s">
        <v>154</v>
      </c>
      <c r="M2180" s="414"/>
      <c r="N2180" s="414"/>
    </row>
    <row r="2181" spans="1:14" ht="15.6">
      <c r="A2181" s="474">
        <v>45907</v>
      </c>
      <c r="B2181" s="475" t="s">
        <v>3821</v>
      </c>
      <c r="C2181" s="475" t="s">
        <v>173</v>
      </c>
      <c r="D2181" s="179" t="s">
        <v>442</v>
      </c>
      <c r="E2181" s="475">
        <v>1000</v>
      </c>
      <c r="F2181" s="463">
        <f t="shared" si="26"/>
        <v>1.8744037053212446</v>
      </c>
      <c r="G2181" s="464">
        <v>533.50300000000004</v>
      </c>
      <c r="H2181" s="475" t="s">
        <v>183</v>
      </c>
      <c r="I2181" s="475" t="s">
        <v>3086</v>
      </c>
      <c r="J2181" s="247" t="s">
        <v>97</v>
      </c>
      <c r="K2181" s="247" t="s">
        <v>1133</v>
      </c>
      <c r="L2181" s="247" t="s">
        <v>154</v>
      </c>
      <c r="M2181" s="414"/>
      <c r="N2181" s="414"/>
    </row>
    <row r="2182" spans="1:14" ht="15.6">
      <c r="A2182" s="474">
        <v>45907</v>
      </c>
      <c r="B2182" s="475" t="s">
        <v>3822</v>
      </c>
      <c r="C2182" s="475" t="s">
        <v>173</v>
      </c>
      <c r="D2182" s="179" t="s">
        <v>442</v>
      </c>
      <c r="E2182" s="475">
        <v>1000</v>
      </c>
      <c r="F2182" s="463">
        <f t="shared" si="26"/>
        <v>1.8744037053212446</v>
      </c>
      <c r="G2182" s="464">
        <v>533.50300000000004</v>
      </c>
      <c r="H2182" s="475" t="s">
        <v>183</v>
      </c>
      <c r="I2182" s="475" t="s">
        <v>3086</v>
      </c>
      <c r="J2182" s="247" t="s">
        <v>97</v>
      </c>
      <c r="K2182" s="247" t="s">
        <v>1133</v>
      </c>
      <c r="L2182" s="247" t="s">
        <v>154</v>
      </c>
      <c r="M2182" s="414"/>
      <c r="N2182" s="414"/>
    </row>
    <row r="2183" spans="1:14" ht="15.6">
      <c r="A2183" s="474">
        <v>45907</v>
      </c>
      <c r="B2183" s="475" t="s">
        <v>3823</v>
      </c>
      <c r="C2183" s="475" t="s">
        <v>173</v>
      </c>
      <c r="D2183" s="179" t="s">
        <v>442</v>
      </c>
      <c r="E2183" s="475">
        <v>1000</v>
      </c>
      <c r="F2183" s="463">
        <f t="shared" si="26"/>
        <v>1.8744037053212446</v>
      </c>
      <c r="G2183" s="464">
        <v>533.50300000000004</v>
      </c>
      <c r="H2183" s="475" t="s">
        <v>183</v>
      </c>
      <c r="I2183" s="475" t="s">
        <v>3086</v>
      </c>
      <c r="J2183" s="247" t="s">
        <v>97</v>
      </c>
      <c r="K2183" s="247" t="s">
        <v>1133</v>
      </c>
      <c r="L2183" s="247" t="s">
        <v>154</v>
      </c>
      <c r="M2183" s="414"/>
      <c r="N2183" s="414"/>
    </row>
    <row r="2184" spans="1:14" ht="15.6">
      <c r="A2184" s="474">
        <v>45907</v>
      </c>
      <c r="B2184" s="475" t="s">
        <v>3778</v>
      </c>
      <c r="C2184" s="475" t="s">
        <v>173</v>
      </c>
      <c r="D2184" s="179" t="s">
        <v>442</v>
      </c>
      <c r="E2184" s="475">
        <v>1000</v>
      </c>
      <c r="F2184" s="463">
        <f t="shared" si="26"/>
        <v>1.8744037053212446</v>
      </c>
      <c r="G2184" s="464">
        <v>533.50300000000004</v>
      </c>
      <c r="H2184" s="475" t="s">
        <v>183</v>
      </c>
      <c r="I2184" s="475" t="s">
        <v>3086</v>
      </c>
      <c r="J2184" s="247" t="s">
        <v>97</v>
      </c>
      <c r="K2184" s="247" t="s">
        <v>1133</v>
      </c>
      <c r="L2184" s="247" t="s">
        <v>154</v>
      </c>
      <c r="M2184" s="414"/>
      <c r="N2184" s="414"/>
    </row>
    <row r="2185" spans="1:14" ht="15.6">
      <c r="A2185" s="474">
        <v>45907</v>
      </c>
      <c r="B2185" s="475" t="s">
        <v>3778</v>
      </c>
      <c r="C2185" s="475" t="s">
        <v>173</v>
      </c>
      <c r="D2185" s="179" t="s">
        <v>442</v>
      </c>
      <c r="E2185" s="475">
        <v>1000</v>
      </c>
      <c r="F2185" s="463">
        <f t="shared" si="26"/>
        <v>1.8744037053212446</v>
      </c>
      <c r="G2185" s="464">
        <v>533.50300000000004</v>
      </c>
      <c r="H2185" s="475" t="s">
        <v>183</v>
      </c>
      <c r="I2185" s="475" t="s">
        <v>3086</v>
      </c>
      <c r="J2185" s="247" t="s">
        <v>97</v>
      </c>
      <c r="K2185" s="247" t="s">
        <v>1133</v>
      </c>
      <c r="L2185" s="247" t="s">
        <v>154</v>
      </c>
      <c r="M2185" s="414"/>
      <c r="N2185" s="414"/>
    </row>
    <row r="2186" spans="1:14" ht="15.6">
      <c r="A2186" s="474">
        <v>45907</v>
      </c>
      <c r="B2186" s="475" t="s">
        <v>3782</v>
      </c>
      <c r="C2186" s="475" t="s">
        <v>173</v>
      </c>
      <c r="D2186" s="179" t="s">
        <v>442</v>
      </c>
      <c r="E2186" s="475">
        <v>1000</v>
      </c>
      <c r="F2186" s="463">
        <f t="shared" si="26"/>
        <v>1.8744037053212446</v>
      </c>
      <c r="G2186" s="464">
        <v>533.50300000000004</v>
      </c>
      <c r="H2186" s="475" t="s">
        <v>183</v>
      </c>
      <c r="I2186" s="475" t="s">
        <v>3086</v>
      </c>
      <c r="J2186" s="247" t="s">
        <v>97</v>
      </c>
      <c r="K2186" s="247" t="s">
        <v>1133</v>
      </c>
      <c r="L2186" s="247" t="s">
        <v>154</v>
      </c>
      <c r="M2186" s="414"/>
      <c r="N2186" s="414"/>
    </row>
    <row r="2187" spans="1:14" ht="15.6">
      <c r="A2187" s="474">
        <v>45907</v>
      </c>
      <c r="B2187" s="475" t="s">
        <v>3003</v>
      </c>
      <c r="C2187" s="475" t="s">
        <v>368</v>
      </c>
      <c r="D2187" s="179" t="s">
        <v>442</v>
      </c>
      <c r="E2187" s="475">
        <v>2000</v>
      </c>
      <c r="F2187" s="463">
        <f t="shared" si="26"/>
        <v>3.7488074106424891</v>
      </c>
      <c r="G2187" s="464">
        <v>533.50300000000004</v>
      </c>
      <c r="H2187" s="475" t="s">
        <v>183</v>
      </c>
      <c r="I2187" s="475" t="s">
        <v>3092</v>
      </c>
      <c r="J2187" s="247" t="s">
        <v>97</v>
      </c>
      <c r="K2187" s="247" t="s">
        <v>1133</v>
      </c>
      <c r="L2187" s="247" t="s">
        <v>154</v>
      </c>
      <c r="M2187" s="414"/>
      <c r="N2187" s="414"/>
    </row>
    <row r="2188" spans="1:14" ht="15.6">
      <c r="A2188" s="476">
        <v>45907</v>
      </c>
      <c r="B2188" s="469" t="s">
        <v>3922</v>
      </c>
      <c r="C2188" s="469" t="s">
        <v>173</v>
      </c>
      <c r="D2188" s="179" t="s">
        <v>442</v>
      </c>
      <c r="E2188" s="469">
        <v>1000</v>
      </c>
      <c r="F2188" s="463">
        <f t="shared" si="26"/>
        <v>1.8744037053212446</v>
      </c>
      <c r="G2188" s="464">
        <v>533.50300000000004</v>
      </c>
      <c r="H2188" s="469" t="s">
        <v>174</v>
      </c>
      <c r="I2188" s="469" t="s">
        <v>3196</v>
      </c>
      <c r="J2188" s="247" t="s">
        <v>97</v>
      </c>
      <c r="K2188" s="247" t="s">
        <v>1133</v>
      </c>
      <c r="L2188" s="247" t="s">
        <v>154</v>
      </c>
      <c r="M2188" s="414"/>
      <c r="N2188" s="414"/>
    </row>
    <row r="2189" spans="1:14" ht="15.6">
      <c r="A2189" s="476">
        <v>45907</v>
      </c>
      <c r="B2189" s="469" t="s">
        <v>3923</v>
      </c>
      <c r="C2189" s="469" t="s">
        <v>173</v>
      </c>
      <c r="D2189" s="179" t="s">
        <v>442</v>
      </c>
      <c r="E2189" s="469">
        <v>1000</v>
      </c>
      <c r="F2189" s="463">
        <f t="shared" si="26"/>
        <v>1.8744037053212446</v>
      </c>
      <c r="G2189" s="464">
        <v>533.50300000000004</v>
      </c>
      <c r="H2189" s="469" t="s">
        <v>174</v>
      </c>
      <c r="I2189" s="469" t="s">
        <v>3196</v>
      </c>
      <c r="J2189" s="247" t="s">
        <v>97</v>
      </c>
      <c r="K2189" s="247" t="s">
        <v>1133</v>
      </c>
      <c r="L2189" s="247" t="s">
        <v>154</v>
      </c>
      <c r="M2189" s="414"/>
      <c r="N2189" s="414"/>
    </row>
    <row r="2190" spans="1:14" ht="15.6">
      <c r="A2190" s="476">
        <v>45907</v>
      </c>
      <c r="B2190" s="469" t="s">
        <v>3924</v>
      </c>
      <c r="C2190" s="469" t="s">
        <v>173</v>
      </c>
      <c r="D2190" s="179" t="s">
        <v>442</v>
      </c>
      <c r="E2190" s="469">
        <v>1000</v>
      </c>
      <c r="F2190" s="463">
        <f t="shared" si="26"/>
        <v>1.8744037053212446</v>
      </c>
      <c r="G2190" s="464">
        <v>533.50300000000004</v>
      </c>
      <c r="H2190" s="469" t="s">
        <v>174</v>
      </c>
      <c r="I2190" s="469" t="s">
        <v>3196</v>
      </c>
      <c r="J2190" s="247" t="s">
        <v>97</v>
      </c>
      <c r="K2190" s="247" t="s">
        <v>1133</v>
      </c>
      <c r="L2190" s="247" t="s">
        <v>154</v>
      </c>
      <c r="M2190" s="414"/>
      <c r="N2190" s="414"/>
    </row>
    <row r="2191" spans="1:14" ht="15.6">
      <c r="A2191" s="476">
        <v>45907</v>
      </c>
      <c r="B2191" s="469" t="s">
        <v>3924</v>
      </c>
      <c r="C2191" s="469" t="s">
        <v>173</v>
      </c>
      <c r="D2191" s="179" t="s">
        <v>442</v>
      </c>
      <c r="E2191" s="469">
        <v>1000</v>
      </c>
      <c r="F2191" s="463">
        <f t="shared" si="26"/>
        <v>1.8744037053212446</v>
      </c>
      <c r="G2191" s="464">
        <v>533.50300000000004</v>
      </c>
      <c r="H2191" s="469" t="s">
        <v>174</v>
      </c>
      <c r="I2191" s="469" t="s">
        <v>3196</v>
      </c>
      <c r="J2191" s="247" t="s">
        <v>97</v>
      </c>
      <c r="K2191" s="247" t="s">
        <v>1133</v>
      </c>
      <c r="L2191" s="247" t="s">
        <v>154</v>
      </c>
      <c r="M2191" s="414"/>
      <c r="N2191" s="414"/>
    </row>
    <row r="2192" spans="1:14" ht="15.6">
      <c r="A2192" s="476">
        <v>45907</v>
      </c>
      <c r="B2192" s="469" t="s">
        <v>3118</v>
      </c>
      <c r="C2192" s="469" t="s">
        <v>368</v>
      </c>
      <c r="D2192" s="179" t="s">
        <v>442</v>
      </c>
      <c r="E2192" s="469">
        <v>1000</v>
      </c>
      <c r="F2192" s="463">
        <f t="shared" si="26"/>
        <v>1.8744037053212446</v>
      </c>
      <c r="G2192" s="464">
        <v>533.50300000000004</v>
      </c>
      <c r="H2192" s="469" t="s">
        <v>174</v>
      </c>
      <c r="I2192" s="469" t="s">
        <v>3201</v>
      </c>
      <c r="J2192" s="247" t="s">
        <v>97</v>
      </c>
      <c r="K2192" s="247" t="s">
        <v>1133</v>
      </c>
      <c r="L2192" s="247" t="s">
        <v>154</v>
      </c>
      <c r="M2192" s="414"/>
      <c r="N2192" s="414"/>
    </row>
    <row r="2193" spans="1:14" ht="15.6">
      <c r="A2193" s="476">
        <v>45907</v>
      </c>
      <c r="B2193" s="469" t="s">
        <v>3742</v>
      </c>
      <c r="C2193" s="469" t="s">
        <v>173</v>
      </c>
      <c r="D2193" s="179" t="s">
        <v>442</v>
      </c>
      <c r="E2193" s="469">
        <v>700</v>
      </c>
      <c r="F2193" s="463">
        <f t="shared" si="26"/>
        <v>1.3120825937248712</v>
      </c>
      <c r="G2193" s="464">
        <v>533.50300000000004</v>
      </c>
      <c r="H2193" s="469" t="s">
        <v>316</v>
      </c>
      <c r="I2193" s="469" t="s">
        <v>3260</v>
      </c>
      <c r="J2193" s="247" t="s">
        <v>97</v>
      </c>
      <c r="K2193" s="247" t="s">
        <v>1133</v>
      </c>
      <c r="L2193" s="247" t="s">
        <v>154</v>
      </c>
      <c r="M2193" s="335"/>
      <c r="N2193" s="335"/>
    </row>
    <row r="2194" spans="1:14" ht="15.6">
      <c r="A2194" s="476">
        <v>45907</v>
      </c>
      <c r="B2194" s="469" t="s">
        <v>3689</v>
      </c>
      <c r="C2194" s="469" t="s">
        <v>173</v>
      </c>
      <c r="D2194" s="179" t="s">
        <v>442</v>
      </c>
      <c r="E2194" s="469">
        <v>5000</v>
      </c>
      <c r="F2194" s="463">
        <f t="shared" si="26"/>
        <v>9.3720185266062224</v>
      </c>
      <c r="G2194" s="464">
        <v>533.50300000000004</v>
      </c>
      <c r="H2194" s="469" t="s">
        <v>316</v>
      </c>
      <c r="I2194" s="247" t="s">
        <v>3265</v>
      </c>
      <c r="J2194" s="247" t="s">
        <v>97</v>
      </c>
      <c r="K2194" s="247" t="s">
        <v>1133</v>
      </c>
      <c r="L2194" s="247" t="s">
        <v>154</v>
      </c>
      <c r="M2194" s="335"/>
      <c r="N2194" s="335"/>
    </row>
    <row r="2195" spans="1:14" ht="15.6">
      <c r="A2195" s="476">
        <v>45907</v>
      </c>
      <c r="B2195" s="469" t="s">
        <v>3716</v>
      </c>
      <c r="C2195" s="469" t="s">
        <v>173</v>
      </c>
      <c r="D2195" s="179" t="s">
        <v>442</v>
      </c>
      <c r="E2195" s="469">
        <v>500</v>
      </c>
      <c r="F2195" s="463">
        <f t="shared" si="26"/>
        <v>0.93720185266062228</v>
      </c>
      <c r="G2195" s="464">
        <v>533.50300000000004</v>
      </c>
      <c r="H2195" s="469" t="s">
        <v>316</v>
      </c>
      <c r="I2195" s="469" t="s">
        <v>3260</v>
      </c>
      <c r="J2195" s="247" t="s">
        <v>97</v>
      </c>
      <c r="K2195" s="247" t="s">
        <v>1133</v>
      </c>
      <c r="L2195" s="247" t="s">
        <v>154</v>
      </c>
      <c r="M2195" s="335"/>
      <c r="N2195" s="335"/>
    </row>
    <row r="2196" spans="1:14" ht="15.6">
      <c r="A2196" s="476">
        <v>45907</v>
      </c>
      <c r="B2196" s="469" t="s">
        <v>3716</v>
      </c>
      <c r="C2196" s="469" t="s">
        <v>173</v>
      </c>
      <c r="D2196" s="179" t="s">
        <v>442</v>
      </c>
      <c r="E2196" s="469">
        <v>500</v>
      </c>
      <c r="F2196" s="463">
        <f t="shared" si="26"/>
        <v>0.93720185266062228</v>
      </c>
      <c r="G2196" s="464">
        <v>533.50300000000004</v>
      </c>
      <c r="H2196" s="469" t="s">
        <v>316</v>
      </c>
      <c r="I2196" s="469" t="s">
        <v>3260</v>
      </c>
      <c r="J2196" s="247" t="s">
        <v>97</v>
      </c>
      <c r="K2196" s="247" t="s">
        <v>1133</v>
      </c>
      <c r="L2196" s="247" t="s">
        <v>154</v>
      </c>
      <c r="M2196" s="335"/>
      <c r="N2196" s="335"/>
    </row>
    <row r="2197" spans="1:14" ht="15.6">
      <c r="A2197" s="476">
        <v>45907</v>
      </c>
      <c r="B2197" s="469" t="s">
        <v>3716</v>
      </c>
      <c r="C2197" s="469" t="s">
        <v>173</v>
      </c>
      <c r="D2197" s="179" t="s">
        <v>442</v>
      </c>
      <c r="E2197" s="469">
        <v>500</v>
      </c>
      <c r="F2197" s="463">
        <f t="shared" si="26"/>
        <v>0.93720185266062228</v>
      </c>
      <c r="G2197" s="464">
        <v>533.50300000000004</v>
      </c>
      <c r="H2197" s="469" t="s">
        <v>316</v>
      </c>
      <c r="I2197" s="469" t="s">
        <v>3260</v>
      </c>
      <c r="J2197" s="247" t="s">
        <v>97</v>
      </c>
      <c r="K2197" s="247" t="s">
        <v>1133</v>
      </c>
      <c r="L2197" s="247" t="s">
        <v>154</v>
      </c>
      <c r="M2197" s="335"/>
      <c r="N2197" s="335"/>
    </row>
    <row r="2198" spans="1:14" ht="15.6">
      <c r="A2198" s="476">
        <v>45907</v>
      </c>
      <c r="B2198" s="469" t="s">
        <v>3716</v>
      </c>
      <c r="C2198" s="469" t="s">
        <v>173</v>
      </c>
      <c r="D2198" s="179" t="s">
        <v>442</v>
      </c>
      <c r="E2198" s="469">
        <v>500</v>
      </c>
      <c r="F2198" s="463">
        <f t="shared" si="26"/>
        <v>0.93720185266062228</v>
      </c>
      <c r="G2198" s="464">
        <v>533.50300000000004</v>
      </c>
      <c r="H2198" s="469" t="s">
        <v>316</v>
      </c>
      <c r="I2198" s="469" t="s">
        <v>3260</v>
      </c>
      <c r="J2198" s="247" t="s">
        <v>97</v>
      </c>
      <c r="K2198" s="247" t="s">
        <v>1133</v>
      </c>
      <c r="L2198" s="247" t="s">
        <v>154</v>
      </c>
      <c r="M2198" s="335"/>
      <c r="N2198" s="335"/>
    </row>
    <row r="2199" spans="1:14" ht="15.6">
      <c r="A2199" s="476">
        <v>45907</v>
      </c>
      <c r="B2199" s="469" t="s">
        <v>3743</v>
      </c>
      <c r="C2199" s="469" t="s">
        <v>173</v>
      </c>
      <c r="D2199" s="179" t="s">
        <v>442</v>
      </c>
      <c r="E2199" s="469">
        <v>5000</v>
      </c>
      <c r="F2199" s="463">
        <f t="shared" si="26"/>
        <v>9.3720185266062224</v>
      </c>
      <c r="G2199" s="464">
        <v>533.50300000000004</v>
      </c>
      <c r="H2199" s="469" t="s">
        <v>316</v>
      </c>
      <c r="I2199" s="247" t="s">
        <v>3266</v>
      </c>
      <c r="J2199" s="247" t="s">
        <v>97</v>
      </c>
      <c r="K2199" s="247" t="s">
        <v>1133</v>
      </c>
      <c r="L2199" s="247" t="s">
        <v>154</v>
      </c>
      <c r="M2199" s="335"/>
      <c r="N2199" s="335"/>
    </row>
    <row r="2200" spans="1:14" ht="15.6">
      <c r="A2200" s="476">
        <v>45907</v>
      </c>
      <c r="B2200" s="469" t="s">
        <v>3234</v>
      </c>
      <c r="C2200" s="469" t="s">
        <v>173</v>
      </c>
      <c r="D2200" s="179" t="s">
        <v>442</v>
      </c>
      <c r="E2200" s="469">
        <v>700</v>
      </c>
      <c r="F2200" s="463">
        <f t="shared" si="26"/>
        <v>1.3120825937248712</v>
      </c>
      <c r="G2200" s="464">
        <v>533.50300000000004</v>
      </c>
      <c r="H2200" s="469" t="s">
        <v>316</v>
      </c>
      <c r="I2200" s="469" t="s">
        <v>3260</v>
      </c>
      <c r="J2200" s="247" t="s">
        <v>97</v>
      </c>
      <c r="K2200" s="247" t="s">
        <v>1133</v>
      </c>
      <c r="L2200" s="247" t="s">
        <v>154</v>
      </c>
      <c r="M2200" s="335"/>
      <c r="N2200" s="335"/>
    </row>
    <row r="2201" spans="1:14" ht="15.6">
      <c r="A2201" s="471">
        <v>45907</v>
      </c>
      <c r="B2201" s="469" t="s">
        <v>3344</v>
      </c>
      <c r="C2201" s="247" t="s">
        <v>176</v>
      </c>
      <c r="D2201" s="247" t="s">
        <v>116</v>
      </c>
      <c r="E2201" s="468">
        <v>15000</v>
      </c>
      <c r="F2201" s="463">
        <f t="shared" si="26"/>
        <v>28.116055579818667</v>
      </c>
      <c r="G2201" s="464">
        <v>533.50300000000004</v>
      </c>
      <c r="H2201" s="247" t="s">
        <v>192</v>
      </c>
      <c r="I2201" s="469" t="s">
        <v>3367</v>
      </c>
      <c r="J2201" s="247" t="s">
        <v>97</v>
      </c>
      <c r="K2201" s="247" t="s">
        <v>1133</v>
      </c>
      <c r="L2201" s="247" t="s">
        <v>154</v>
      </c>
      <c r="M2201" s="76"/>
      <c r="N2201" s="76"/>
    </row>
    <row r="2202" spans="1:14" ht="15.6">
      <c r="A2202" s="471">
        <v>45907</v>
      </c>
      <c r="B2202" s="469" t="s">
        <v>3345</v>
      </c>
      <c r="C2202" s="247" t="s">
        <v>173</v>
      </c>
      <c r="D2202" s="247" t="s">
        <v>116</v>
      </c>
      <c r="E2202" s="468">
        <v>500</v>
      </c>
      <c r="F2202" s="463">
        <f t="shared" si="26"/>
        <v>0.93720185266062228</v>
      </c>
      <c r="G2202" s="464">
        <v>533.50300000000004</v>
      </c>
      <c r="H2202" s="247" t="s">
        <v>192</v>
      </c>
      <c r="I2202" s="469" t="s">
        <v>3360</v>
      </c>
      <c r="J2202" s="247" t="s">
        <v>97</v>
      </c>
      <c r="K2202" s="247" t="s">
        <v>1133</v>
      </c>
      <c r="L2202" s="247" t="s">
        <v>154</v>
      </c>
      <c r="M2202" s="76"/>
      <c r="N2202" s="76"/>
    </row>
    <row r="2203" spans="1:14" ht="15.6">
      <c r="A2203" s="471">
        <v>45907</v>
      </c>
      <c r="B2203" s="469" t="s">
        <v>3346</v>
      </c>
      <c r="C2203" s="247" t="s">
        <v>173</v>
      </c>
      <c r="D2203" s="247" t="s">
        <v>116</v>
      </c>
      <c r="E2203" s="468">
        <v>1000</v>
      </c>
      <c r="F2203" s="463">
        <f t="shared" si="26"/>
        <v>1.8744037053212446</v>
      </c>
      <c r="G2203" s="464">
        <v>533.50300000000004</v>
      </c>
      <c r="H2203" s="247" t="s">
        <v>192</v>
      </c>
      <c r="I2203" s="469" t="s">
        <v>3360</v>
      </c>
      <c r="J2203" s="247" t="s">
        <v>97</v>
      </c>
      <c r="K2203" s="247" t="s">
        <v>1133</v>
      </c>
      <c r="L2203" s="247" t="s">
        <v>154</v>
      </c>
      <c r="M2203" s="76"/>
      <c r="N2203" s="76"/>
    </row>
    <row r="2204" spans="1:14" ht="15.6">
      <c r="A2204" s="461">
        <v>45907</v>
      </c>
      <c r="B2204" s="469" t="s">
        <v>3384</v>
      </c>
      <c r="C2204" s="359" t="s">
        <v>195</v>
      </c>
      <c r="D2204" s="359" t="s">
        <v>116</v>
      </c>
      <c r="E2204" s="472">
        <v>500</v>
      </c>
      <c r="F2204" s="463">
        <f t="shared" si="26"/>
        <v>0.93720185266062228</v>
      </c>
      <c r="G2204" s="464">
        <v>533.50300000000004</v>
      </c>
      <c r="H2204" s="256" t="s">
        <v>196</v>
      </c>
      <c r="I2204" s="469" t="s">
        <v>3411</v>
      </c>
      <c r="J2204" s="247" t="s">
        <v>97</v>
      </c>
      <c r="K2204" s="247" t="s">
        <v>1133</v>
      </c>
      <c r="L2204" s="247" t="s">
        <v>154</v>
      </c>
      <c r="M2204" s="76"/>
      <c r="N2204" s="76"/>
    </row>
    <row r="2205" spans="1:14" ht="15.6">
      <c r="A2205" s="461">
        <v>45907</v>
      </c>
      <c r="B2205" s="469" t="s">
        <v>3385</v>
      </c>
      <c r="C2205" s="359" t="s">
        <v>195</v>
      </c>
      <c r="D2205" s="359" t="s">
        <v>116</v>
      </c>
      <c r="E2205" s="472">
        <v>500</v>
      </c>
      <c r="F2205" s="463">
        <f t="shared" si="26"/>
        <v>0.93720185266062228</v>
      </c>
      <c r="G2205" s="464">
        <v>533.50300000000004</v>
      </c>
      <c r="H2205" s="256" t="s">
        <v>196</v>
      </c>
      <c r="I2205" s="469" t="s">
        <v>3411</v>
      </c>
      <c r="J2205" s="247" t="s">
        <v>97</v>
      </c>
      <c r="K2205" s="247" t="s">
        <v>1133</v>
      </c>
      <c r="L2205" s="247" t="s">
        <v>154</v>
      </c>
      <c r="M2205" s="76"/>
      <c r="N2205" s="76"/>
    </row>
    <row r="2206" spans="1:14" ht="15.6">
      <c r="A2206" s="461">
        <v>45907</v>
      </c>
      <c r="B2206" s="469" t="s">
        <v>3386</v>
      </c>
      <c r="C2206" s="359" t="s">
        <v>195</v>
      </c>
      <c r="D2206" s="359" t="s">
        <v>116</v>
      </c>
      <c r="E2206" s="472">
        <v>500</v>
      </c>
      <c r="F2206" s="463">
        <f t="shared" si="26"/>
        <v>0.93720185266062228</v>
      </c>
      <c r="G2206" s="464">
        <v>533.50300000000004</v>
      </c>
      <c r="H2206" s="256" t="s">
        <v>196</v>
      </c>
      <c r="I2206" s="469" t="s">
        <v>3411</v>
      </c>
      <c r="J2206" s="247" t="s">
        <v>97</v>
      </c>
      <c r="K2206" s="247" t="s">
        <v>1133</v>
      </c>
      <c r="L2206" s="247" t="s">
        <v>154</v>
      </c>
      <c r="M2206" s="76"/>
      <c r="N2206" s="76"/>
    </row>
    <row r="2207" spans="1:14" ht="15.6">
      <c r="A2207" s="461">
        <v>45908</v>
      </c>
      <c r="B2207" s="469" t="s">
        <v>3387</v>
      </c>
      <c r="C2207" s="359" t="s">
        <v>195</v>
      </c>
      <c r="D2207" s="359" t="s">
        <v>116</v>
      </c>
      <c r="E2207" s="472">
        <v>500</v>
      </c>
      <c r="F2207" s="463">
        <f t="shared" si="26"/>
        <v>0.93720185266062228</v>
      </c>
      <c r="G2207" s="464">
        <v>533.50300000000004</v>
      </c>
      <c r="H2207" s="256" t="s">
        <v>196</v>
      </c>
      <c r="I2207" s="469" t="s">
        <v>3411</v>
      </c>
      <c r="J2207" s="247" t="s">
        <v>97</v>
      </c>
      <c r="K2207" s="247" t="s">
        <v>1133</v>
      </c>
      <c r="L2207" s="247" t="s">
        <v>154</v>
      </c>
      <c r="M2207" s="76"/>
      <c r="N2207" s="76"/>
    </row>
    <row r="2208" spans="1:14" ht="15.6">
      <c r="A2208" s="476">
        <v>45908</v>
      </c>
      <c r="B2208" s="359" t="s">
        <v>2100</v>
      </c>
      <c r="C2208" s="462" t="s">
        <v>173</v>
      </c>
      <c r="D2208" s="462" t="s">
        <v>118</v>
      </c>
      <c r="E2208" s="359">
        <v>1000</v>
      </c>
      <c r="F2208" s="463">
        <f t="shared" si="26"/>
        <v>1.8744037053212446</v>
      </c>
      <c r="G2208" s="464">
        <v>533.50300000000004</v>
      </c>
      <c r="H2208" s="465" t="s">
        <v>152</v>
      </c>
      <c r="I2208" s="469" t="s">
        <v>2868</v>
      </c>
      <c r="J2208" s="247" t="s">
        <v>97</v>
      </c>
      <c r="K2208" s="247" t="s">
        <v>1133</v>
      </c>
      <c r="L2208" s="247" t="s">
        <v>154</v>
      </c>
      <c r="M2208" s="335"/>
      <c r="N2208" s="335"/>
    </row>
    <row r="2209" spans="1:14" ht="15.6">
      <c r="A2209" s="476">
        <v>45908</v>
      </c>
      <c r="B2209" s="359" t="s">
        <v>2101</v>
      </c>
      <c r="C2209" s="462" t="s">
        <v>173</v>
      </c>
      <c r="D2209" s="462" t="s">
        <v>118</v>
      </c>
      <c r="E2209" s="359">
        <v>1000</v>
      </c>
      <c r="F2209" s="463">
        <f t="shared" si="26"/>
        <v>1.8744037053212446</v>
      </c>
      <c r="G2209" s="464">
        <v>533.50300000000004</v>
      </c>
      <c r="H2209" s="465" t="s">
        <v>152</v>
      </c>
      <c r="I2209" s="469" t="s">
        <v>2868</v>
      </c>
      <c r="J2209" s="247" t="s">
        <v>97</v>
      </c>
      <c r="K2209" s="247" t="s">
        <v>1133</v>
      </c>
      <c r="L2209" s="247" t="s">
        <v>154</v>
      </c>
      <c r="M2209" s="335"/>
      <c r="N2209" s="335"/>
    </row>
    <row r="2210" spans="1:14" ht="15.6">
      <c r="A2210" s="476">
        <v>45908</v>
      </c>
      <c r="B2210" s="359" t="s">
        <v>2850</v>
      </c>
      <c r="C2210" s="462" t="s">
        <v>151</v>
      </c>
      <c r="D2210" s="462" t="s">
        <v>118</v>
      </c>
      <c r="E2210" s="359">
        <v>12500</v>
      </c>
      <c r="F2210" s="463">
        <f t="shared" si="26"/>
        <v>23.430046316515558</v>
      </c>
      <c r="G2210" s="464">
        <v>533.50300000000004</v>
      </c>
      <c r="H2210" s="465" t="s">
        <v>152</v>
      </c>
      <c r="I2210" s="469" t="s">
        <v>2872</v>
      </c>
      <c r="J2210" s="247" t="s">
        <v>97</v>
      </c>
      <c r="K2210" s="247" t="s">
        <v>1133</v>
      </c>
      <c r="L2210" s="247" t="s">
        <v>154</v>
      </c>
      <c r="M2210" s="335"/>
      <c r="N2210" s="335"/>
    </row>
    <row r="2211" spans="1:14" ht="15.6">
      <c r="A2211" s="481">
        <v>45908</v>
      </c>
      <c r="B2211" s="216" t="s">
        <v>2884</v>
      </c>
      <c r="C2211" s="216" t="s">
        <v>2391</v>
      </c>
      <c r="D2211" s="337" t="s">
        <v>116</v>
      </c>
      <c r="E2211" s="216">
        <v>27500</v>
      </c>
      <c r="F2211" s="463">
        <f t="shared" si="26"/>
        <v>51.546101896334221</v>
      </c>
      <c r="G2211" s="464">
        <v>533.50300000000004</v>
      </c>
      <c r="H2211" s="174" t="s">
        <v>199</v>
      </c>
      <c r="I2211" s="216" t="s">
        <v>2914</v>
      </c>
      <c r="J2211" s="247" t="s">
        <v>97</v>
      </c>
      <c r="K2211" s="247" t="s">
        <v>1133</v>
      </c>
      <c r="L2211" s="247" t="s">
        <v>154</v>
      </c>
      <c r="M2211" s="414"/>
      <c r="N2211" s="414"/>
    </row>
    <row r="2212" spans="1:14" ht="15.6">
      <c r="A2212" s="481">
        <v>45908</v>
      </c>
      <c r="B2212" s="247" t="s">
        <v>2885</v>
      </c>
      <c r="C2212" s="243" t="s">
        <v>151</v>
      </c>
      <c r="D2212" s="243" t="s">
        <v>116</v>
      </c>
      <c r="E2212" s="216">
        <v>10000</v>
      </c>
      <c r="F2212" s="463">
        <f t="shared" si="26"/>
        <v>18.744037053212445</v>
      </c>
      <c r="G2212" s="464">
        <v>533.50300000000004</v>
      </c>
      <c r="H2212" s="174" t="s">
        <v>199</v>
      </c>
      <c r="I2212" s="216" t="s">
        <v>2915</v>
      </c>
      <c r="J2212" s="247" t="s">
        <v>97</v>
      </c>
      <c r="K2212" s="247" t="s">
        <v>1133</v>
      </c>
      <c r="L2212" s="247" t="s">
        <v>154</v>
      </c>
      <c r="M2212" s="491"/>
      <c r="N2212" s="414"/>
    </row>
    <row r="2213" spans="1:14" ht="15.6">
      <c r="A2213" s="467">
        <v>45908</v>
      </c>
      <c r="B2213" s="469" t="s">
        <v>2928</v>
      </c>
      <c r="C2213" s="469" t="s">
        <v>173</v>
      </c>
      <c r="D2213" s="469" t="s">
        <v>117</v>
      </c>
      <c r="E2213" s="470">
        <v>1000</v>
      </c>
      <c r="F2213" s="463">
        <f t="shared" si="26"/>
        <v>1.8744037053212446</v>
      </c>
      <c r="G2213" s="464">
        <v>533.50300000000004</v>
      </c>
      <c r="H2213" s="469" t="s">
        <v>583</v>
      </c>
      <c r="I2213" s="469" t="s">
        <v>2970</v>
      </c>
      <c r="J2213" s="247" t="s">
        <v>97</v>
      </c>
      <c r="K2213" s="247" t="s">
        <v>1133</v>
      </c>
      <c r="L2213" s="247" t="s">
        <v>154</v>
      </c>
      <c r="M2213" s="414"/>
      <c r="N2213" s="414"/>
    </row>
    <row r="2214" spans="1:14" ht="15.6">
      <c r="A2214" s="467">
        <v>45908</v>
      </c>
      <c r="B2214" s="469" t="s">
        <v>2936</v>
      </c>
      <c r="C2214" s="469" t="s">
        <v>173</v>
      </c>
      <c r="D2214" s="469" t="s">
        <v>117</v>
      </c>
      <c r="E2214" s="470">
        <v>500</v>
      </c>
      <c r="F2214" s="463">
        <f t="shared" ref="F2214:F2277" si="27">E2214/G2214</f>
        <v>0.93720185266062228</v>
      </c>
      <c r="G2214" s="464">
        <v>533.50300000000004</v>
      </c>
      <c r="H2214" s="469" t="s">
        <v>583</v>
      </c>
      <c r="I2214" s="469" t="s">
        <v>2970</v>
      </c>
      <c r="J2214" s="247" t="s">
        <v>97</v>
      </c>
      <c r="K2214" s="247" t="s">
        <v>1133</v>
      </c>
      <c r="L2214" s="247" t="s">
        <v>154</v>
      </c>
      <c r="M2214" s="414"/>
      <c r="N2214" s="414"/>
    </row>
    <row r="2215" spans="1:14" ht="15.6">
      <c r="A2215" s="467">
        <v>45908</v>
      </c>
      <c r="B2215" s="469" t="s">
        <v>2937</v>
      </c>
      <c r="C2215" s="469" t="s">
        <v>173</v>
      </c>
      <c r="D2215" s="469" t="s">
        <v>117</v>
      </c>
      <c r="E2215" s="470">
        <v>1000</v>
      </c>
      <c r="F2215" s="463">
        <f t="shared" si="27"/>
        <v>1.8744037053212446</v>
      </c>
      <c r="G2215" s="464">
        <v>533.50300000000004</v>
      </c>
      <c r="H2215" s="469" t="s">
        <v>583</v>
      </c>
      <c r="I2215" s="469" t="s">
        <v>2970</v>
      </c>
      <c r="J2215" s="247" t="s">
        <v>97</v>
      </c>
      <c r="K2215" s="247" t="s">
        <v>1133</v>
      </c>
      <c r="L2215" s="247" t="s">
        <v>154</v>
      </c>
      <c r="M2215" s="335"/>
      <c r="N2215" s="335"/>
    </row>
    <row r="2216" spans="1:14" ht="15.6">
      <c r="A2216" s="467">
        <v>45908</v>
      </c>
      <c r="B2216" s="469" t="s">
        <v>2938</v>
      </c>
      <c r="C2216" s="472" t="s">
        <v>151</v>
      </c>
      <c r="D2216" s="469" t="s">
        <v>118</v>
      </c>
      <c r="E2216" s="470">
        <v>7500</v>
      </c>
      <c r="F2216" s="463">
        <f t="shared" si="27"/>
        <v>14.058027789909334</v>
      </c>
      <c r="G2216" s="464">
        <v>533.50300000000004</v>
      </c>
      <c r="H2216" s="469" t="s">
        <v>583</v>
      </c>
      <c r="I2216" s="469" t="s">
        <v>2976</v>
      </c>
      <c r="J2216" s="247" t="s">
        <v>97</v>
      </c>
      <c r="K2216" s="247" t="s">
        <v>1133</v>
      </c>
      <c r="L2216" s="247" t="s">
        <v>154</v>
      </c>
      <c r="M2216" s="335"/>
      <c r="N2216" s="335"/>
    </row>
    <row r="2217" spans="1:14" ht="15.6">
      <c r="A2217" s="474">
        <v>45908</v>
      </c>
      <c r="B2217" s="475" t="s">
        <v>3759</v>
      </c>
      <c r="C2217" s="475" t="s">
        <v>173</v>
      </c>
      <c r="D2217" s="179" t="s">
        <v>442</v>
      </c>
      <c r="E2217" s="475">
        <v>3000</v>
      </c>
      <c r="F2217" s="463">
        <f t="shared" si="27"/>
        <v>5.6232111159637332</v>
      </c>
      <c r="G2217" s="464">
        <v>533.50300000000004</v>
      </c>
      <c r="H2217" s="475" t="s">
        <v>183</v>
      </c>
      <c r="I2217" s="475" t="s">
        <v>3094</v>
      </c>
      <c r="J2217" s="247" t="s">
        <v>97</v>
      </c>
      <c r="K2217" s="247" t="s">
        <v>1133</v>
      </c>
      <c r="L2217" s="247" t="s">
        <v>154</v>
      </c>
      <c r="M2217" s="414"/>
      <c r="N2217" s="414"/>
    </row>
    <row r="2218" spans="1:14" ht="15.6">
      <c r="A2218" s="474">
        <v>45908</v>
      </c>
      <c r="B2218" s="475" t="s">
        <v>3824</v>
      </c>
      <c r="C2218" s="475" t="s">
        <v>173</v>
      </c>
      <c r="D2218" s="179" t="s">
        <v>442</v>
      </c>
      <c r="E2218" s="475">
        <v>1500</v>
      </c>
      <c r="F2218" s="463">
        <f t="shared" si="27"/>
        <v>2.8116055579818666</v>
      </c>
      <c r="G2218" s="464">
        <v>533.50300000000004</v>
      </c>
      <c r="H2218" s="475" t="s">
        <v>183</v>
      </c>
      <c r="I2218" s="475" t="s">
        <v>3086</v>
      </c>
      <c r="J2218" s="247" t="s">
        <v>97</v>
      </c>
      <c r="K2218" s="247" t="s">
        <v>1133</v>
      </c>
      <c r="L2218" s="247" t="s">
        <v>154</v>
      </c>
      <c r="M2218" s="414"/>
      <c r="N2218" s="414"/>
    </row>
    <row r="2219" spans="1:14" ht="15.6">
      <c r="A2219" s="474">
        <v>45908</v>
      </c>
      <c r="B2219" s="475" t="s">
        <v>3825</v>
      </c>
      <c r="C2219" s="475" t="s">
        <v>173</v>
      </c>
      <c r="D2219" s="179" t="s">
        <v>442</v>
      </c>
      <c r="E2219" s="475">
        <v>1000</v>
      </c>
      <c r="F2219" s="463">
        <f t="shared" si="27"/>
        <v>1.8744037053212446</v>
      </c>
      <c r="G2219" s="464">
        <v>533.50300000000004</v>
      </c>
      <c r="H2219" s="475" t="s">
        <v>183</v>
      </c>
      <c r="I2219" s="475" t="s">
        <v>3086</v>
      </c>
      <c r="J2219" s="247" t="s">
        <v>97</v>
      </c>
      <c r="K2219" s="247" t="s">
        <v>1133</v>
      </c>
      <c r="L2219" s="247" t="s">
        <v>154</v>
      </c>
      <c r="M2219" s="414"/>
      <c r="N2219" s="414"/>
    </row>
    <row r="2220" spans="1:14" ht="15.6">
      <c r="A2220" s="474">
        <v>45908</v>
      </c>
      <c r="B2220" s="475" t="s">
        <v>3779</v>
      </c>
      <c r="C2220" s="475" t="s">
        <v>173</v>
      </c>
      <c r="D2220" s="179" t="s">
        <v>442</v>
      </c>
      <c r="E2220" s="475">
        <v>1000</v>
      </c>
      <c r="F2220" s="463">
        <f t="shared" si="27"/>
        <v>1.8744037053212446</v>
      </c>
      <c r="G2220" s="464">
        <v>533.50300000000004</v>
      </c>
      <c r="H2220" s="475" t="s">
        <v>183</v>
      </c>
      <c r="I2220" s="475" t="s">
        <v>3086</v>
      </c>
      <c r="J2220" s="247" t="s">
        <v>97</v>
      </c>
      <c r="K2220" s="247" t="s">
        <v>1133</v>
      </c>
      <c r="L2220" s="247" t="s">
        <v>154</v>
      </c>
      <c r="M2220" s="414"/>
      <c r="N2220" s="414"/>
    </row>
    <row r="2221" spans="1:14" ht="15.6">
      <c r="A2221" s="474">
        <v>45908</v>
      </c>
      <c r="B2221" s="475" t="s">
        <v>3779</v>
      </c>
      <c r="C2221" s="475" t="s">
        <v>173</v>
      </c>
      <c r="D2221" s="179" t="s">
        <v>442</v>
      </c>
      <c r="E2221" s="475">
        <v>1000</v>
      </c>
      <c r="F2221" s="463">
        <f t="shared" si="27"/>
        <v>1.8744037053212446</v>
      </c>
      <c r="G2221" s="464">
        <v>533.50300000000004</v>
      </c>
      <c r="H2221" s="475" t="s">
        <v>183</v>
      </c>
      <c r="I2221" s="475" t="s">
        <v>3086</v>
      </c>
      <c r="J2221" s="247" t="s">
        <v>97</v>
      </c>
      <c r="K2221" s="247" t="s">
        <v>1133</v>
      </c>
      <c r="L2221" s="247" t="s">
        <v>154</v>
      </c>
      <c r="M2221" s="414"/>
      <c r="N2221" s="414"/>
    </row>
    <row r="2222" spans="1:14" ht="15.6">
      <c r="A2222" s="474">
        <v>45908</v>
      </c>
      <c r="B2222" s="475" t="s">
        <v>3779</v>
      </c>
      <c r="C2222" s="475" t="s">
        <v>173</v>
      </c>
      <c r="D2222" s="179" t="s">
        <v>442</v>
      </c>
      <c r="E2222" s="475">
        <v>1000</v>
      </c>
      <c r="F2222" s="463">
        <f t="shared" si="27"/>
        <v>1.8744037053212446</v>
      </c>
      <c r="G2222" s="464">
        <v>533.50300000000004</v>
      </c>
      <c r="H2222" s="475" t="s">
        <v>183</v>
      </c>
      <c r="I2222" s="475" t="s">
        <v>3086</v>
      </c>
      <c r="J2222" s="247" t="s">
        <v>97</v>
      </c>
      <c r="K2222" s="247" t="s">
        <v>1133</v>
      </c>
      <c r="L2222" s="247" t="s">
        <v>154</v>
      </c>
      <c r="M2222" s="414"/>
      <c r="N2222" s="414"/>
    </row>
    <row r="2223" spans="1:14" ht="15.6">
      <c r="A2223" s="474">
        <v>45908</v>
      </c>
      <c r="B2223" s="475" t="s">
        <v>3818</v>
      </c>
      <c r="C2223" s="475" t="s">
        <v>173</v>
      </c>
      <c r="D2223" s="179" t="s">
        <v>442</v>
      </c>
      <c r="E2223" s="475">
        <v>1000</v>
      </c>
      <c r="F2223" s="463">
        <f t="shared" si="27"/>
        <v>1.8744037053212446</v>
      </c>
      <c r="G2223" s="464">
        <v>533.50300000000004</v>
      </c>
      <c r="H2223" s="475" t="s">
        <v>183</v>
      </c>
      <c r="I2223" s="475" t="s">
        <v>3086</v>
      </c>
      <c r="J2223" s="247" t="s">
        <v>97</v>
      </c>
      <c r="K2223" s="247" t="s">
        <v>1133</v>
      </c>
      <c r="L2223" s="247" t="s">
        <v>154</v>
      </c>
      <c r="M2223" s="414"/>
      <c r="N2223" s="414"/>
    </row>
    <row r="2224" spans="1:14" ht="15.6">
      <c r="A2224" s="474">
        <v>45908</v>
      </c>
      <c r="B2224" s="339" t="s">
        <v>3019</v>
      </c>
      <c r="C2224" s="339" t="s">
        <v>151</v>
      </c>
      <c r="D2224" s="179" t="s">
        <v>442</v>
      </c>
      <c r="E2224" s="475">
        <v>10000</v>
      </c>
      <c r="F2224" s="463">
        <f t="shared" si="27"/>
        <v>18.744037053212445</v>
      </c>
      <c r="G2224" s="464">
        <v>533.50300000000004</v>
      </c>
      <c r="H2224" s="475" t="s">
        <v>183</v>
      </c>
      <c r="I2224" s="475" t="s">
        <v>3095</v>
      </c>
      <c r="J2224" s="247" t="s">
        <v>97</v>
      </c>
      <c r="K2224" s="247" t="s">
        <v>1133</v>
      </c>
      <c r="L2224" s="247" t="s">
        <v>154</v>
      </c>
      <c r="M2224" s="414"/>
      <c r="N2224" s="414"/>
    </row>
    <row r="2225" spans="1:14" ht="15.6">
      <c r="A2225" s="474">
        <v>45908</v>
      </c>
      <c r="B2225" s="475" t="s">
        <v>3826</v>
      </c>
      <c r="C2225" s="475" t="s">
        <v>173</v>
      </c>
      <c r="D2225" s="179" t="s">
        <v>442</v>
      </c>
      <c r="E2225" s="475">
        <v>3000</v>
      </c>
      <c r="F2225" s="463">
        <f t="shared" si="27"/>
        <v>5.6232111159637332</v>
      </c>
      <c r="G2225" s="464">
        <v>533.50300000000004</v>
      </c>
      <c r="H2225" s="475" t="s">
        <v>183</v>
      </c>
      <c r="I2225" s="475" t="s">
        <v>3096</v>
      </c>
      <c r="J2225" s="247" t="s">
        <v>97</v>
      </c>
      <c r="K2225" s="247" t="s">
        <v>1133</v>
      </c>
      <c r="L2225" s="247" t="s">
        <v>154</v>
      </c>
      <c r="M2225" s="414"/>
      <c r="N2225" s="414"/>
    </row>
    <row r="2226" spans="1:14" ht="15.6">
      <c r="A2226" s="474">
        <v>45908</v>
      </c>
      <c r="B2226" s="475" t="s">
        <v>3827</v>
      </c>
      <c r="C2226" s="475" t="s">
        <v>173</v>
      </c>
      <c r="D2226" s="179" t="s">
        <v>442</v>
      </c>
      <c r="E2226" s="475">
        <v>1500</v>
      </c>
      <c r="F2226" s="463">
        <f t="shared" si="27"/>
        <v>2.8116055579818666</v>
      </c>
      <c r="G2226" s="464">
        <v>533.50300000000004</v>
      </c>
      <c r="H2226" s="475" t="s">
        <v>183</v>
      </c>
      <c r="I2226" s="475" t="s">
        <v>3086</v>
      </c>
      <c r="J2226" s="247" t="s">
        <v>97</v>
      </c>
      <c r="K2226" s="247" t="s">
        <v>1133</v>
      </c>
      <c r="L2226" s="247" t="s">
        <v>154</v>
      </c>
      <c r="M2226" s="414"/>
      <c r="N2226" s="414"/>
    </row>
    <row r="2227" spans="1:14" ht="15.6">
      <c r="A2227" s="474">
        <v>45908</v>
      </c>
      <c r="B2227" s="475" t="s">
        <v>3003</v>
      </c>
      <c r="C2227" s="475" t="s">
        <v>368</v>
      </c>
      <c r="D2227" s="179" t="s">
        <v>442</v>
      </c>
      <c r="E2227" s="475">
        <v>2000</v>
      </c>
      <c r="F2227" s="463">
        <f t="shared" si="27"/>
        <v>3.7488074106424891</v>
      </c>
      <c r="G2227" s="464">
        <v>533.50300000000004</v>
      </c>
      <c r="H2227" s="475" t="s">
        <v>183</v>
      </c>
      <c r="I2227" s="475" t="s">
        <v>3092</v>
      </c>
      <c r="J2227" s="247" t="s">
        <v>97</v>
      </c>
      <c r="K2227" s="247" t="s">
        <v>1133</v>
      </c>
      <c r="L2227" s="247" t="s">
        <v>154</v>
      </c>
      <c r="M2227" s="414"/>
      <c r="N2227" s="414"/>
    </row>
    <row r="2228" spans="1:14" ht="15.6">
      <c r="A2228" s="476">
        <v>45908</v>
      </c>
      <c r="B2228" s="469" t="s">
        <v>3925</v>
      </c>
      <c r="C2228" s="469" t="s">
        <v>173</v>
      </c>
      <c r="D2228" s="179" t="s">
        <v>442</v>
      </c>
      <c r="E2228" s="469">
        <v>1000</v>
      </c>
      <c r="F2228" s="463">
        <f t="shared" si="27"/>
        <v>1.8744037053212446</v>
      </c>
      <c r="G2228" s="464">
        <v>533.50300000000004</v>
      </c>
      <c r="H2228" s="469" t="s">
        <v>174</v>
      </c>
      <c r="I2228" s="469" t="s">
        <v>3196</v>
      </c>
      <c r="J2228" s="247" t="s">
        <v>97</v>
      </c>
      <c r="K2228" s="247" t="s">
        <v>1133</v>
      </c>
      <c r="L2228" s="247" t="s">
        <v>154</v>
      </c>
      <c r="M2228" s="414"/>
      <c r="N2228" s="414"/>
    </row>
    <row r="2229" spans="1:14" ht="15.6">
      <c r="A2229" s="476">
        <v>45908</v>
      </c>
      <c r="B2229" s="469" t="s">
        <v>3926</v>
      </c>
      <c r="C2229" s="469" t="s">
        <v>173</v>
      </c>
      <c r="D2229" s="179" t="s">
        <v>442</v>
      </c>
      <c r="E2229" s="469">
        <v>1000</v>
      </c>
      <c r="F2229" s="463">
        <f t="shared" si="27"/>
        <v>1.8744037053212446</v>
      </c>
      <c r="G2229" s="464">
        <v>533.50300000000004</v>
      </c>
      <c r="H2229" s="469" t="s">
        <v>174</v>
      </c>
      <c r="I2229" s="469" t="s">
        <v>3196</v>
      </c>
      <c r="J2229" s="247" t="s">
        <v>97</v>
      </c>
      <c r="K2229" s="247" t="s">
        <v>1133</v>
      </c>
      <c r="L2229" s="247" t="s">
        <v>154</v>
      </c>
      <c r="M2229" s="414"/>
      <c r="N2229" s="414"/>
    </row>
    <row r="2230" spans="1:14" ht="15.6">
      <c r="A2230" s="476">
        <v>45908</v>
      </c>
      <c r="B2230" s="469" t="s">
        <v>3927</v>
      </c>
      <c r="C2230" s="469" t="s">
        <v>173</v>
      </c>
      <c r="D2230" s="179" t="s">
        <v>442</v>
      </c>
      <c r="E2230" s="469">
        <v>1000</v>
      </c>
      <c r="F2230" s="463">
        <f t="shared" si="27"/>
        <v>1.8744037053212446</v>
      </c>
      <c r="G2230" s="464">
        <v>533.50300000000004</v>
      </c>
      <c r="H2230" s="469" t="s">
        <v>174</v>
      </c>
      <c r="I2230" s="469" t="s">
        <v>3196</v>
      </c>
      <c r="J2230" s="247" t="s">
        <v>97</v>
      </c>
      <c r="K2230" s="247" t="s">
        <v>1133</v>
      </c>
      <c r="L2230" s="247" t="s">
        <v>154</v>
      </c>
      <c r="M2230" s="414"/>
      <c r="N2230" s="414"/>
    </row>
    <row r="2231" spans="1:14" ht="15.6">
      <c r="A2231" s="476">
        <v>45908</v>
      </c>
      <c r="B2231" s="469" t="s">
        <v>3899</v>
      </c>
      <c r="C2231" s="469" t="s">
        <v>173</v>
      </c>
      <c r="D2231" s="179" t="s">
        <v>442</v>
      </c>
      <c r="E2231" s="469">
        <v>1000</v>
      </c>
      <c r="F2231" s="463">
        <f t="shared" si="27"/>
        <v>1.8744037053212446</v>
      </c>
      <c r="G2231" s="464">
        <v>533.50300000000004</v>
      </c>
      <c r="H2231" s="469" t="s">
        <v>174</v>
      </c>
      <c r="I2231" s="469" t="s">
        <v>3196</v>
      </c>
      <c r="J2231" s="247" t="s">
        <v>97</v>
      </c>
      <c r="K2231" s="247" t="s">
        <v>1133</v>
      </c>
      <c r="L2231" s="247" t="s">
        <v>154</v>
      </c>
      <c r="M2231" s="414"/>
      <c r="N2231" s="414"/>
    </row>
    <row r="2232" spans="1:14" ht="15.6">
      <c r="A2232" s="476">
        <v>45908</v>
      </c>
      <c r="B2232" s="469" t="s">
        <v>3928</v>
      </c>
      <c r="C2232" s="469" t="s">
        <v>173</v>
      </c>
      <c r="D2232" s="179" t="s">
        <v>442</v>
      </c>
      <c r="E2232" s="469">
        <v>1000</v>
      </c>
      <c r="F2232" s="463">
        <f t="shared" si="27"/>
        <v>1.8744037053212446</v>
      </c>
      <c r="G2232" s="464">
        <v>533.50300000000004</v>
      </c>
      <c r="H2232" s="469" t="s">
        <v>174</v>
      </c>
      <c r="I2232" s="469" t="s">
        <v>3196</v>
      </c>
      <c r="J2232" s="247" t="s">
        <v>97</v>
      </c>
      <c r="K2232" s="247" t="s">
        <v>1133</v>
      </c>
      <c r="L2232" s="247" t="s">
        <v>154</v>
      </c>
      <c r="M2232" s="414"/>
      <c r="N2232" s="414"/>
    </row>
    <row r="2233" spans="1:14" ht="15.6">
      <c r="A2233" s="476">
        <v>45908</v>
      </c>
      <c r="B2233" s="469" t="s">
        <v>3929</v>
      </c>
      <c r="C2233" s="469" t="s">
        <v>173</v>
      </c>
      <c r="D2233" s="179" t="s">
        <v>442</v>
      </c>
      <c r="E2233" s="469">
        <v>1000</v>
      </c>
      <c r="F2233" s="463">
        <f t="shared" si="27"/>
        <v>1.8744037053212446</v>
      </c>
      <c r="G2233" s="464">
        <v>533.50300000000004</v>
      </c>
      <c r="H2233" s="469" t="s">
        <v>174</v>
      </c>
      <c r="I2233" s="469" t="s">
        <v>3196</v>
      </c>
      <c r="J2233" s="247" t="s">
        <v>97</v>
      </c>
      <c r="K2233" s="247" t="s">
        <v>1133</v>
      </c>
      <c r="L2233" s="247" t="s">
        <v>154</v>
      </c>
      <c r="M2233" s="414"/>
      <c r="N2233" s="414"/>
    </row>
    <row r="2234" spans="1:14" ht="15.6">
      <c r="A2234" s="476">
        <v>45908</v>
      </c>
      <c r="B2234" s="339" t="s">
        <v>3123</v>
      </c>
      <c r="C2234" s="339" t="s">
        <v>151</v>
      </c>
      <c r="D2234" s="179" t="s">
        <v>442</v>
      </c>
      <c r="E2234" s="469">
        <v>10000</v>
      </c>
      <c r="F2234" s="463">
        <f t="shared" si="27"/>
        <v>18.744037053212445</v>
      </c>
      <c r="G2234" s="464">
        <v>533.50300000000004</v>
      </c>
      <c r="H2234" s="469" t="s">
        <v>174</v>
      </c>
      <c r="I2234" s="469" t="s">
        <v>3204</v>
      </c>
      <c r="J2234" s="247" t="s">
        <v>97</v>
      </c>
      <c r="K2234" s="247" t="s">
        <v>1133</v>
      </c>
      <c r="L2234" s="247" t="s">
        <v>154</v>
      </c>
      <c r="M2234" s="335"/>
      <c r="N2234" s="335"/>
    </row>
    <row r="2235" spans="1:14" ht="15.6">
      <c r="A2235" s="471">
        <v>45908</v>
      </c>
      <c r="B2235" s="247" t="s">
        <v>3124</v>
      </c>
      <c r="C2235" s="247" t="s">
        <v>368</v>
      </c>
      <c r="D2235" s="179" t="s">
        <v>442</v>
      </c>
      <c r="E2235" s="247">
        <v>12000</v>
      </c>
      <c r="F2235" s="463">
        <f t="shared" si="27"/>
        <v>22.492844463854933</v>
      </c>
      <c r="G2235" s="464">
        <v>533.50300000000004</v>
      </c>
      <c r="H2235" s="247" t="s">
        <v>174</v>
      </c>
      <c r="I2235" s="469" t="s">
        <v>3201</v>
      </c>
      <c r="J2235" s="247" t="s">
        <v>97</v>
      </c>
      <c r="K2235" s="247" t="s">
        <v>1133</v>
      </c>
      <c r="L2235" s="247" t="s">
        <v>154</v>
      </c>
      <c r="M2235" s="335"/>
      <c r="N2235" s="335"/>
    </row>
    <row r="2236" spans="1:14" ht="15.6">
      <c r="A2236" s="476">
        <v>45908</v>
      </c>
      <c r="B2236" s="469" t="s">
        <v>3703</v>
      </c>
      <c r="C2236" s="469" t="s">
        <v>176</v>
      </c>
      <c r="D2236" s="179" t="s">
        <v>442</v>
      </c>
      <c r="E2236" s="469">
        <v>60000</v>
      </c>
      <c r="F2236" s="463">
        <f t="shared" si="27"/>
        <v>112.46422231927467</v>
      </c>
      <c r="G2236" s="464">
        <v>533.50300000000004</v>
      </c>
      <c r="H2236" s="469" t="s">
        <v>316</v>
      </c>
      <c r="I2236" s="247" t="s">
        <v>3267</v>
      </c>
      <c r="J2236" s="247" t="s">
        <v>97</v>
      </c>
      <c r="K2236" s="247" t="s">
        <v>1133</v>
      </c>
      <c r="L2236" s="247" t="s">
        <v>154</v>
      </c>
      <c r="M2236" s="335"/>
      <c r="N2236" s="335"/>
    </row>
    <row r="2237" spans="1:14" ht="15.6">
      <c r="A2237" s="476">
        <v>45908</v>
      </c>
      <c r="B2237" s="469" t="s">
        <v>3744</v>
      </c>
      <c r="C2237" s="469" t="s">
        <v>173</v>
      </c>
      <c r="D2237" s="179" t="s">
        <v>442</v>
      </c>
      <c r="E2237" s="469">
        <v>700</v>
      </c>
      <c r="F2237" s="463">
        <f t="shared" si="27"/>
        <v>1.3120825937248712</v>
      </c>
      <c r="G2237" s="464">
        <v>533.50300000000004</v>
      </c>
      <c r="H2237" s="469" t="s">
        <v>316</v>
      </c>
      <c r="I2237" s="469" t="s">
        <v>3260</v>
      </c>
      <c r="J2237" s="247" t="s">
        <v>97</v>
      </c>
      <c r="K2237" s="247" t="s">
        <v>1133</v>
      </c>
      <c r="L2237" s="247" t="s">
        <v>154</v>
      </c>
      <c r="M2237" s="335"/>
      <c r="N2237" s="335"/>
    </row>
    <row r="2238" spans="1:14" ht="15.6">
      <c r="A2238" s="476">
        <v>45908</v>
      </c>
      <c r="B2238" s="469" t="s">
        <v>353</v>
      </c>
      <c r="C2238" s="469" t="s">
        <v>173</v>
      </c>
      <c r="D2238" s="179" t="s">
        <v>442</v>
      </c>
      <c r="E2238" s="469">
        <v>3000</v>
      </c>
      <c r="F2238" s="463">
        <f t="shared" si="27"/>
        <v>5.6232111159637332</v>
      </c>
      <c r="G2238" s="464">
        <v>533.50300000000004</v>
      </c>
      <c r="H2238" s="469" t="s">
        <v>316</v>
      </c>
      <c r="I2238" s="247" t="s">
        <v>3268</v>
      </c>
      <c r="J2238" s="247" t="s">
        <v>97</v>
      </c>
      <c r="K2238" s="247" t="s">
        <v>1133</v>
      </c>
      <c r="L2238" s="247" t="s">
        <v>154</v>
      </c>
      <c r="M2238" s="335"/>
      <c r="N2238" s="335"/>
    </row>
    <row r="2239" spans="1:14" ht="15.6">
      <c r="A2239" s="476">
        <v>45908</v>
      </c>
      <c r="B2239" s="469" t="s">
        <v>3745</v>
      </c>
      <c r="C2239" s="469" t="s">
        <v>173</v>
      </c>
      <c r="D2239" s="179" t="s">
        <v>442</v>
      </c>
      <c r="E2239" s="469">
        <v>500</v>
      </c>
      <c r="F2239" s="463">
        <f t="shared" si="27"/>
        <v>0.93720185266062228</v>
      </c>
      <c r="G2239" s="464">
        <v>533.50300000000004</v>
      </c>
      <c r="H2239" s="469" t="s">
        <v>316</v>
      </c>
      <c r="I2239" s="469" t="s">
        <v>3260</v>
      </c>
      <c r="J2239" s="247" t="s">
        <v>97</v>
      </c>
      <c r="K2239" s="247" t="s">
        <v>1133</v>
      </c>
      <c r="L2239" s="247" t="s">
        <v>154</v>
      </c>
      <c r="M2239" s="335"/>
      <c r="N2239" s="335"/>
    </row>
    <row r="2240" spans="1:14" ht="15.6">
      <c r="A2240" s="476">
        <v>45908</v>
      </c>
      <c r="B2240" s="469" t="s">
        <v>3715</v>
      </c>
      <c r="C2240" s="469" t="s">
        <v>173</v>
      </c>
      <c r="D2240" s="179" t="s">
        <v>442</v>
      </c>
      <c r="E2240" s="469">
        <v>600</v>
      </c>
      <c r="F2240" s="463">
        <f t="shared" si="27"/>
        <v>1.1246422231927466</v>
      </c>
      <c r="G2240" s="464">
        <v>533.50300000000004</v>
      </c>
      <c r="H2240" s="469" t="s">
        <v>316</v>
      </c>
      <c r="I2240" s="469" t="s">
        <v>3260</v>
      </c>
      <c r="J2240" s="247" t="s">
        <v>97</v>
      </c>
      <c r="K2240" s="247" t="s">
        <v>1133</v>
      </c>
      <c r="L2240" s="247" t="s">
        <v>154</v>
      </c>
      <c r="M2240" s="335"/>
      <c r="N2240" s="335"/>
    </row>
    <row r="2241" spans="1:14" ht="15.6">
      <c r="A2241" s="476">
        <v>45908</v>
      </c>
      <c r="B2241" s="469" t="s">
        <v>3715</v>
      </c>
      <c r="C2241" s="469" t="s">
        <v>173</v>
      </c>
      <c r="D2241" s="179" t="s">
        <v>442</v>
      </c>
      <c r="E2241" s="469">
        <v>500</v>
      </c>
      <c r="F2241" s="463">
        <f t="shared" si="27"/>
        <v>0.93720185266062228</v>
      </c>
      <c r="G2241" s="464">
        <v>533.50300000000004</v>
      </c>
      <c r="H2241" s="469" t="s">
        <v>316</v>
      </c>
      <c r="I2241" s="469" t="s">
        <v>3260</v>
      </c>
      <c r="J2241" s="247" t="s">
        <v>97</v>
      </c>
      <c r="K2241" s="247" t="s">
        <v>1133</v>
      </c>
      <c r="L2241" s="247" t="s">
        <v>154</v>
      </c>
      <c r="M2241" s="335"/>
      <c r="N2241" s="335"/>
    </row>
    <row r="2242" spans="1:14" ht="15.6">
      <c r="A2242" s="476">
        <v>45908</v>
      </c>
      <c r="B2242" s="469" t="s">
        <v>3746</v>
      </c>
      <c r="C2242" s="469" t="s">
        <v>173</v>
      </c>
      <c r="D2242" s="179" t="s">
        <v>442</v>
      </c>
      <c r="E2242" s="469">
        <v>500</v>
      </c>
      <c r="F2242" s="463">
        <f t="shared" si="27"/>
        <v>0.93720185266062228</v>
      </c>
      <c r="G2242" s="464">
        <v>533.50300000000004</v>
      </c>
      <c r="H2242" s="469" t="s">
        <v>316</v>
      </c>
      <c r="I2242" s="469" t="s">
        <v>3260</v>
      </c>
      <c r="J2242" s="247" t="s">
        <v>97</v>
      </c>
      <c r="K2242" s="247" t="s">
        <v>1133</v>
      </c>
      <c r="L2242" s="247" t="s">
        <v>154</v>
      </c>
      <c r="M2242" s="335"/>
      <c r="N2242" s="335"/>
    </row>
    <row r="2243" spans="1:14" ht="15.6">
      <c r="A2243" s="476">
        <v>45908</v>
      </c>
      <c r="B2243" s="469" t="s">
        <v>3238</v>
      </c>
      <c r="C2243" s="469" t="s">
        <v>151</v>
      </c>
      <c r="D2243" s="179" t="s">
        <v>442</v>
      </c>
      <c r="E2243" s="469">
        <v>10000</v>
      </c>
      <c r="F2243" s="463">
        <f t="shared" si="27"/>
        <v>18.744037053212445</v>
      </c>
      <c r="G2243" s="464">
        <v>533.50300000000004</v>
      </c>
      <c r="H2243" s="469" t="s">
        <v>316</v>
      </c>
      <c r="I2243" s="247" t="s">
        <v>3269</v>
      </c>
      <c r="J2243" s="247" t="s">
        <v>97</v>
      </c>
      <c r="K2243" s="247" t="s">
        <v>1133</v>
      </c>
      <c r="L2243" s="247" t="s">
        <v>154</v>
      </c>
      <c r="M2243" s="335"/>
      <c r="N2243" s="335"/>
    </row>
    <row r="2244" spans="1:14" ht="15.6">
      <c r="A2244" s="476">
        <v>45908</v>
      </c>
      <c r="B2244" s="469" t="s">
        <v>3276</v>
      </c>
      <c r="C2244" s="469" t="s">
        <v>151</v>
      </c>
      <c r="D2244" s="179" t="s">
        <v>442</v>
      </c>
      <c r="E2244" s="472">
        <v>10000</v>
      </c>
      <c r="F2244" s="463">
        <f t="shared" si="27"/>
        <v>18.744037053212445</v>
      </c>
      <c r="G2244" s="464">
        <v>533.50300000000004</v>
      </c>
      <c r="H2244" s="469" t="s">
        <v>322</v>
      </c>
      <c r="I2244" s="469" t="s">
        <v>3299</v>
      </c>
      <c r="J2244" s="247" t="s">
        <v>97</v>
      </c>
      <c r="K2244" s="247" t="s">
        <v>1133</v>
      </c>
      <c r="L2244" s="247" t="s">
        <v>154</v>
      </c>
      <c r="M2244" s="335"/>
      <c r="N2244" s="335"/>
    </row>
    <row r="2245" spans="1:14" ht="15.6">
      <c r="A2245" s="476">
        <v>45908</v>
      </c>
      <c r="B2245" s="469" t="s">
        <v>3312</v>
      </c>
      <c r="C2245" s="469" t="s">
        <v>173</v>
      </c>
      <c r="D2245" s="469" t="s">
        <v>116</v>
      </c>
      <c r="E2245" s="470">
        <v>1000</v>
      </c>
      <c r="F2245" s="463">
        <f t="shared" si="27"/>
        <v>1.8744037053212446</v>
      </c>
      <c r="G2245" s="464">
        <v>533.50300000000004</v>
      </c>
      <c r="H2245" s="469" t="s">
        <v>189</v>
      </c>
      <c r="I2245" s="469" t="s">
        <v>3324</v>
      </c>
      <c r="J2245" s="247" t="s">
        <v>97</v>
      </c>
      <c r="K2245" s="247" t="s">
        <v>1133</v>
      </c>
      <c r="L2245" s="247" t="s">
        <v>154</v>
      </c>
      <c r="M2245" s="335"/>
      <c r="N2245" s="335"/>
    </row>
    <row r="2246" spans="1:14" ht="15.6">
      <c r="A2246" s="476">
        <v>45908</v>
      </c>
      <c r="B2246" s="469" t="s">
        <v>3313</v>
      </c>
      <c r="C2246" s="469" t="s">
        <v>173</v>
      </c>
      <c r="D2246" s="469" t="s">
        <v>116</v>
      </c>
      <c r="E2246" s="470">
        <v>1000</v>
      </c>
      <c r="F2246" s="463">
        <f t="shared" si="27"/>
        <v>1.8744037053212446</v>
      </c>
      <c r="G2246" s="464">
        <v>533.50300000000004</v>
      </c>
      <c r="H2246" s="469" t="s">
        <v>189</v>
      </c>
      <c r="I2246" s="469" t="s">
        <v>3324</v>
      </c>
      <c r="J2246" s="247" t="s">
        <v>97</v>
      </c>
      <c r="K2246" s="247" t="s">
        <v>1133</v>
      </c>
      <c r="L2246" s="247" t="s">
        <v>154</v>
      </c>
      <c r="M2246" s="335"/>
      <c r="N2246" s="335"/>
    </row>
    <row r="2247" spans="1:14" ht="15.6">
      <c r="A2247" s="476">
        <v>45908</v>
      </c>
      <c r="B2247" s="469" t="s">
        <v>3314</v>
      </c>
      <c r="C2247" s="469" t="s">
        <v>151</v>
      </c>
      <c r="D2247" s="469" t="s">
        <v>116</v>
      </c>
      <c r="E2247" s="470">
        <v>7500</v>
      </c>
      <c r="F2247" s="463">
        <f t="shared" si="27"/>
        <v>14.058027789909334</v>
      </c>
      <c r="G2247" s="464">
        <v>533.50300000000004</v>
      </c>
      <c r="H2247" s="469" t="s">
        <v>189</v>
      </c>
      <c r="I2247" s="247" t="s">
        <v>3327</v>
      </c>
      <c r="J2247" s="247" t="s">
        <v>97</v>
      </c>
      <c r="K2247" s="247" t="s">
        <v>1133</v>
      </c>
      <c r="L2247" s="247" t="s">
        <v>154</v>
      </c>
      <c r="M2247" s="335"/>
      <c r="N2247" s="335"/>
    </row>
    <row r="2248" spans="1:14" ht="15.6">
      <c r="A2248" s="471">
        <v>45908</v>
      </c>
      <c r="B2248" s="469" t="s">
        <v>3315</v>
      </c>
      <c r="C2248" s="469" t="s">
        <v>171</v>
      </c>
      <c r="D2248" s="469" t="s">
        <v>117</v>
      </c>
      <c r="E2248" s="468">
        <v>31250</v>
      </c>
      <c r="F2248" s="463">
        <f t="shared" si="27"/>
        <v>58.575115791288894</v>
      </c>
      <c r="G2248" s="464">
        <v>533.50300000000004</v>
      </c>
      <c r="H2248" s="469" t="s">
        <v>189</v>
      </c>
      <c r="I2248" s="247" t="s">
        <v>3328</v>
      </c>
      <c r="J2248" s="247" t="s">
        <v>97</v>
      </c>
      <c r="K2248" s="247" t="s">
        <v>1133</v>
      </c>
      <c r="L2248" s="247" t="s">
        <v>154</v>
      </c>
      <c r="M2248" s="335"/>
      <c r="N2248" s="335"/>
    </row>
    <row r="2249" spans="1:14" ht="15.6">
      <c r="A2249" s="471">
        <v>45908</v>
      </c>
      <c r="B2249" s="469" t="s">
        <v>3347</v>
      </c>
      <c r="C2249" s="469" t="s">
        <v>151</v>
      </c>
      <c r="D2249" s="247" t="s">
        <v>116</v>
      </c>
      <c r="E2249" s="468">
        <v>7500</v>
      </c>
      <c r="F2249" s="463">
        <f t="shared" si="27"/>
        <v>14.058027789909334</v>
      </c>
      <c r="G2249" s="464">
        <v>533.50300000000004</v>
      </c>
      <c r="H2249" s="247" t="s">
        <v>192</v>
      </c>
      <c r="I2249" s="469" t="s">
        <v>3368</v>
      </c>
      <c r="J2249" s="247" t="s">
        <v>97</v>
      </c>
      <c r="K2249" s="247" t="s">
        <v>1133</v>
      </c>
      <c r="L2249" s="247" t="s">
        <v>154</v>
      </c>
      <c r="M2249" s="76"/>
      <c r="N2249" s="76"/>
    </row>
    <row r="2250" spans="1:14" ht="15.6">
      <c r="A2250" s="461">
        <v>45908</v>
      </c>
      <c r="B2250" s="247" t="s">
        <v>3388</v>
      </c>
      <c r="C2250" s="243" t="s">
        <v>151</v>
      </c>
      <c r="D2250" s="243" t="s">
        <v>116</v>
      </c>
      <c r="E2250" s="478">
        <v>10000</v>
      </c>
      <c r="F2250" s="463">
        <f t="shared" si="27"/>
        <v>18.744037053212445</v>
      </c>
      <c r="G2250" s="464">
        <v>533.50300000000004</v>
      </c>
      <c r="H2250" s="256" t="s">
        <v>196</v>
      </c>
      <c r="I2250" s="469" t="s">
        <v>3417</v>
      </c>
      <c r="J2250" s="247" t="s">
        <v>97</v>
      </c>
      <c r="K2250" s="247" t="s">
        <v>1133</v>
      </c>
      <c r="L2250" s="247" t="s">
        <v>154</v>
      </c>
      <c r="M2250" s="76"/>
      <c r="N2250" s="76"/>
    </row>
    <row r="2251" spans="1:14" ht="15.6">
      <c r="A2251" s="461">
        <v>45909</v>
      </c>
      <c r="B2251" s="469" t="s">
        <v>3389</v>
      </c>
      <c r="C2251" s="359" t="s">
        <v>195</v>
      </c>
      <c r="D2251" s="359" t="s">
        <v>116</v>
      </c>
      <c r="E2251" s="472">
        <v>500</v>
      </c>
      <c r="F2251" s="463">
        <f t="shared" si="27"/>
        <v>0.93720185266062228</v>
      </c>
      <c r="G2251" s="464">
        <v>533.50300000000004</v>
      </c>
      <c r="H2251" s="256" t="s">
        <v>196</v>
      </c>
      <c r="I2251" s="469" t="s">
        <v>3411</v>
      </c>
      <c r="J2251" s="247" t="s">
        <v>97</v>
      </c>
      <c r="K2251" s="247" t="s">
        <v>1133</v>
      </c>
      <c r="L2251" s="247" t="s">
        <v>154</v>
      </c>
      <c r="M2251" s="76"/>
      <c r="N2251" s="76"/>
    </row>
    <row r="2252" spans="1:14" ht="15.6">
      <c r="A2252" s="476">
        <v>45908</v>
      </c>
      <c r="B2252" s="247" t="s">
        <v>3462</v>
      </c>
      <c r="C2252" s="243" t="s">
        <v>151</v>
      </c>
      <c r="D2252" s="469" t="s">
        <v>119</v>
      </c>
      <c r="E2252" s="472">
        <v>5000</v>
      </c>
      <c r="F2252" s="463">
        <f t="shared" si="27"/>
        <v>9.3720185266062224</v>
      </c>
      <c r="G2252" s="464">
        <v>533.50300000000004</v>
      </c>
      <c r="H2252" s="469" t="s">
        <v>212</v>
      </c>
      <c r="I2252" s="469" t="s">
        <v>3478</v>
      </c>
      <c r="J2252" s="247" t="s">
        <v>97</v>
      </c>
      <c r="K2252" s="247" t="s">
        <v>1133</v>
      </c>
      <c r="L2252" s="247" t="s">
        <v>154</v>
      </c>
      <c r="M2252" s="76"/>
      <c r="N2252" s="76"/>
    </row>
    <row r="2253" spans="1:14" ht="15.6">
      <c r="A2253" s="476">
        <v>45908</v>
      </c>
      <c r="B2253" s="247" t="s">
        <v>3462</v>
      </c>
      <c r="C2253" s="243" t="s">
        <v>151</v>
      </c>
      <c r="D2253" s="469" t="s">
        <v>119</v>
      </c>
      <c r="E2253" s="472">
        <v>5000</v>
      </c>
      <c r="F2253" s="463">
        <f t="shared" si="27"/>
        <v>9.3720185266062224</v>
      </c>
      <c r="G2253" s="464">
        <v>533.50300000000004</v>
      </c>
      <c r="H2253" s="469" t="s">
        <v>212</v>
      </c>
      <c r="I2253" s="469" t="s">
        <v>3479</v>
      </c>
      <c r="J2253" s="247" t="s">
        <v>97</v>
      </c>
      <c r="K2253" s="247" t="s">
        <v>1133</v>
      </c>
      <c r="L2253" s="247" t="s">
        <v>154</v>
      </c>
      <c r="M2253" s="76"/>
      <c r="N2253" s="76"/>
    </row>
    <row r="2254" spans="1:14" ht="15.6">
      <c r="A2254" s="476">
        <v>45908</v>
      </c>
      <c r="B2254" s="469" t="s">
        <v>2756</v>
      </c>
      <c r="C2254" s="469" t="s">
        <v>173</v>
      </c>
      <c r="D2254" s="469" t="s">
        <v>116</v>
      </c>
      <c r="E2254" s="469">
        <v>500</v>
      </c>
      <c r="F2254" s="463">
        <f t="shared" si="27"/>
        <v>0.93720185266062228</v>
      </c>
      <c r="G2254" s="464">
        <v>533.50300000000004</v>
      </c>
      <c r="H2254" s="469" t="s">
        <v>186</v>
      </c>
      <c r="I2254" s="469" t="s">
        <v>3504</v>
      </c>
      <c r="J2254" s="247" t="s">
        <v>97</v>
      </c>
      <c r="K2254" s="247" t="s">
        <v>1133</v>
      </c>
      <c r="L2254" s="247" t="s">
        <v>154</v>
      </c>
      <c r="M2254" s="76"/>
      <c r="N2254" s="76"/>
    </row>
    <row r="2255" spans="1:14" ht="15.6">
      <c r="A2255" s="476">
        <v>45908</v>
      </c>
      <c r="B2255" s="469" t="s">
        <v>2757</v>
      </c>
      <c r="C2255" s="469" t="s">
        <v>173</v>
      </c>
      <c r="D2255" s="469" t="s">
        <v>116</v>
      </c>
      <c r="E2255" s="469">
        <v>500</v>
      </c>
      <c r="F2255" s="463">
        <f t="shared" si="27"/>
        <v>0.93720185266062228</v>
      </c>
      <c r="G2255" s="464">
        <v>533.50300000000004</v>
      </c>
      <c r="H2255" s="469" t="s">
        <v>186</v>
      </c>
      <c r="I2255" s="469" t="s">
        <v>3504</v>
      </c>
      <c r="J2255" s="247" t="s">
        <v>97</v>
      </c>
      <c r="K2255" s="247" t="s">
        <v>1133</v>
      </c>
      <c r="L2255" s="247" t="s">
        <v>154</v>
      </c>
      <c r="M2255" s="76"/>
      <c r="N2255" s="76"/>
    </row>
    <row r="2256" spans="1:14" ht="15.6">
      <c r="A2256" s="476">
        <v>45908</v>
      </c>
      <c r="B2256" s="469" t="s">
        <v>3487</v>
      </c>
      <c r="C2256" s="469" t="s">
        <v>151</v>
      </c>
      <c r="D2256" s="469" t="s">
        <v>116</v>
      </c>
      <c r="E2256" s="469">
        <v>7500</v>
      </c>
      <c r="F2256" s="463">
        <f t="shared" si="27"/>
        <v>14.058027789909334</v>
      </c>
      <c r="G2256" s="464">
        <v>533.50300000000004</v>
      </c>
      <c r="H2256" s="469" t="s">
        <v>186</v>
      </c>
      <c r="I2256" s="469" t="s">
        <v>3505</v>
      </c>
      <c r="J2256" s="247" t="s">
        <v>97</v>
      </c>
      <c r="K2256" s="247" t="s">
        <v>1133</v>
      </c>
      <c r="L2256" s="247" t="s">
        <v>154</v>
      </c>
      <c r="M2256" s="76"/>
      <c r="N2256" s="76"/>
    </row>
    <row r="2257" spans="1:14" ht="15.6">
      <c r="A2257" s="471">
        <v>45908</v>
      </c>
      <c r="B2257" s="247" t="s">
        <v>3488</v>
      </c>
      <c r="C2257" s="469" t="s">
        <v>181</v>
      </c>
      <c r="D2257" s="469" t="s">
        <v>117</v>
      </c>
      <c r="E2257" s="468">
        <v>2000</v>
      </c>
      <c r="F2257" s="463">
        <f t="shared" si="27"/>
        <v>3.7488074106424891</v>
      </c>
      <c r="G2257" s="464">
        <v>533.50300000000004</v>
      </c>
      <c r="H2257" s="469" t="s">
        <v>186</v>
      </c>
      <c r="I2257" s="247" t="s">
        <v>3506</v>
      </c>
      <c r="J2257" s="247" t="s">
        <v>97</v>
      </c>
      <c r="K2257" s="247" t="s">
        <v>1133</v>
      </c>
      <c r="L2257" s="247" t="s">
        <v>154</v>
      </c>
      <c r="M2257" s="76"/>
      <c r="N2257" s="76"/>
    </row>
    <row r="2258" spans="1:14" ht="15.6">
      <c r="A2258" s="476">
        <v>45909</v>
      </c>
      <c r="B2258" s="469" t="s">
        <v>2100</v>
      </c>
      <c r="C2258" s="462" t="s">
        <v>173</v>
      </c>
      <c r="D2258" s="462" t="s">
        <v>118</v>
      </c>
      <c r="E2258" s="359">
        <v>1000</v>
      </c>
      <c r="F2258" s="463">
        <f t="shared" si="27"/>
        <v>1.8744037053212446</v>
      </c>
      <c r="G2258" s="464">
        <v>533.50300000000004</v>
      </c>
      <c r="H2258" s="465" t="s">
        <v>152</v>
      </c>
      <c r="I2258" s="469" t="s">
        <v>2868</v>
      </c>
      <c r="J2258" s="247" t="s">
        <v>97</v>
      </c>
      <c r="K2258" s="247" t="s">
        <v>1133</v>
      </c>
      <c r="L2258" s="247" t="s">
        <v>154</v>
      </c>
      <c r="M2258" s="335"/>
      <c r="N2258" s="335"/>
    </row>
    <row r="2259" spans="1:14" ht="15.6">
      <c r="A2259" s="476">
        <v>45909</v>
      </c>
      <c r="B2259" s="469" t="s">
        <v>2851</v>
      </c>
      <c r="C2259" s="462" t="s">
        <v>173</v>
      </c>
      <c r="D2259" s="462" t="s">
        <v>118</v>
      </c>
      <c r="E2259" s="359">
        <v>1000</v>
      </c>
      <c r="F2259" s="463">
        <f t="shared" si="27"/>
        <v>1.8744037053212446</v>
      </c>
      <c r="G2259" s="464">
        <v>533.50300000000004</v>
      </c>
      <c r="H2259" s="465" t="s">
        <v>152</v>
      </c>
      <c r="I2259" s="469" t="s">
        <v>2868</v>
      </c>
      <c r="J2259" s="247" t="s">
        <v>97</v>
      </c>
      <c r="K2259" s="247" t="s">
        <v>1133</v>
      </c>
      <c r="L2259" s="247" t="s">
        <v>154</v>
      </c>
      <c r="M2259" s="369"/>
      <c r="N2259" s="369"/>
    </row>
    <row r="2260" spans="1:14" ht="15.6">
      <c r="A2260" s="476">
        <v>45909</v>
      </c>
      <c r="B2260" s="469" t="s">
        <v>2852</v>
      </c>
      <c r="C2260" s="462" t="s">
        <v>173</v>
      </c>
      <c r="D2260" s="462" t="s">
        <v>118</v>
      </c>
      <c r="E2260" s="359">
        <v>1000</v>
      </c>
      <c r="F2260" s="463">
        <f t="shared" si="27"/>
        <v>1.8744037053212446</v>
      </c>
      <c r="G2260" s="464">
        <v>533.50300000000004</v>
      </c>
      <c r="H2260" s="465" t="s">
        <v>152</v>
      </c>
      <c r="I2260" s="469" t="s">
        <v>2868</v>
      </c>
      <c r="J2260" s="247" t="s">
        <v>97</v>
      </c>
      <c r="K2260" s="247" t="s">
        <v>1133</v>
      </c>
      <c r="L2260" s="247" t="s">
        <v>154</v>
      </c>
      <c r="M2260" s="335"/>
      <c r="N2260" s="335"/>
    </row>
    <row r="2261" spans="1:14" ht="15.6">
      <c r="A2261" s="476">
        <v>45909</v>
      </c>
      <c r="B2261" s="469" t="s">
        <v>2853</v>
      </c>
      <c r="C2261" s="462" t="s">
        <v>173</v>
      </c>
      <c r="D2261" s="462" t="s">
        <v>118</v>
      </c>
      <c r="E2261" s="359">
        <v>1000</v>
      </c>
      <c r="F2261" s="463">
        <f t="shared" si="27"/>
        <v>1.8744037053212446</v>
      </c>
      <c r="G2261" s="464">
        <v>533.50300000000004</v>
      </c>
      <c r="H2261" s="465" t="s">
        <v>152</v>
      </c>
      <c r="I2261" s="469" t="s">
        <v>2868</v>
      </c>
      <c r="J2261" s="247" t="s">
        <v>97</v>
      </c>
      <c r="K2261" s="247" t="s">
        <v>1133</v>
      </c>
      <c r="L2261" s="247" t="s">
        <v>154</v>
      </c>
      <c r="M2261" s="414"/>
      <c r="N2261" s="414"/>
    </row>
    <row r="2262" spans="1:14" ht="15.6">
      <c r="A2262" s="476">
        <v>45909</v>
      </c>
      <c r="B2262" s="469" t="s">
        <v>2101</v>
      </c>
      <c r="C2262" s="462" t="s">
        <v>173</v>
      </c>
      <c r="D2262" s="462" t="s">
        <v>118</v>
      </c>
      <c r="E2262" s="359">
        <v>1000</v>
      </c>
      <c r="F2262" s="463">
        <f t="shared" si="27"/>
        <v>1.8744037053212446</v>
      </c>
      <c r="G2262" s="464">
        <v>533.50300000000004</v>
      </c>
      <c r="H2262" s="465" t="s">
        <v>152</v>
      </c>
      <c r="I2262" s="469" t="s">
        <v>2868</v>
      </c>
      <c r="J2262" s="247" t="s">
        <v>97</v>
      </c>
      <c r="K2262" s="247" t="s">
        <v>1133</v>
      </c>
      <c r="L2262" s="247" t="s">
        <v>154</v>
      </c>
      <c r="M2262" s="414"/>
      <c r="N2262" s="414"/>
    </row>
    <row r="2263" spans="1:14" ht="15.6">
      <c r="A2263" s="474">
        <v>45909</v>
      </c>
      <c r="B2263" s="216" t="s">
        <v>2886</v>
      </c>
      <c r="C2263" s="216" t="s">
        <v>173</v>
      </c>
      <c r="D2263" s="337" t="s">
        <v>116</v>
      </c>
      <c r="E2263" s="475">
        <v>500</v>
      </c>
      <c r="F2263" s="463">
        <f t="shared" si="27"/>
        <v>0.93720185266062228</v>
      </c>
      <c r="G2263" s="464">
        <v>533.50300000000004</v>
      </c>
      <c r="H2263" s="174" t="s">
        <v>199</v>
      </c>
      <c r="I2263" s="216" t="s">
        <v>2911</v>
      </c>
      <c r="J2263" s="247" t="s">
        <v>97</v>
      </c>
      <c r="K2263" s="247" t="s">
        <v>1133</v>
      </c>
      <c r="L2263" s="247" t="s">
        <v>154</v>
      </c>
      <c r="M2263" s="335"/>
      <c r="N2263" s="335"/>
    </row>
    <row r="2264" spans="1:14" ht="15.6">
      <c r="A2264" s="474">
        <v>45909</v>
      </c>
      <c r="B2264" s="216" t="s">
        <v>2418</v>
      </c>
      <c r="C2264" s="216" t="s">
        <v>173</v>
      </c>
      <c r="D2264" s="337" t="s">
        <v>116</v>
      </c>
      <c r="E2264" s="475">
        <v>500</v>
      </c>
      <c r="F2264" s="463">
        <f t="shared" si="27"/>
        <v>0.93720185266062228</v>
      </c>
      <c r="G2264" s="464">
        <v>533.50300000000004</v>
      </c>
      <c r="H2264" s="174" t="s">
        <v>199</v>
      </c>
      <c r="I2264" s="216" t="s">
        <v>2911</v>
      </c>
      <c r="J2264" s="247" t="s">
        <v>97</v>
      </c>
      <c r="K2264" s="247" t="s">
        <v>1133</v>
      </c>
      <c r="L2264" s="247" t="s">
        <v>154</v>
      </c>
      <c r="M2264" s="335"/>
      <c r="N2264" s="335"/>
    </row>
    <row r="2265" spans="1:14" ht="15.6">
      <c r="A2265" s="467">
        <v>45909</v>
      </c>
      <c r="B2265" s="469" t="s">
        <v>2939</v>
      </c>
      <c r="C2265" s="469" t="s">
        <v>173</v>
      </c>
      <c r="D2265" s="469" t="s">
        <v>117</v>
      </c>
      <c r="E2265" s="470">
        <v>1000</v>
      </c>
      <c r="F2265" s="463">
        <f t="shared" si="27"/>
        <v>1.8744037053212446</v>
      </c>
      <c r="G2265" s="464">
        <v>533.50300000000004</v>
      </c>
      <c r="H2265" s="469" t="s">
        <v>583</v>
      </c>
      <c r="I2265" s="469" t="s">
        <v>2970</v>
      </c>
      <c r="J2265" s="247" t="s">
        <v>97</v>
      </c>
      <c r="K2265" s="247" t="s">
        <v>1133</v>
      </c>
      <c r="L2265" s="247" t="s">
        <v>154</v>
      </c>
      <c r="M2265" s="335"/>
      <c r="N2265" s="335"/>
    </row>
    <row r="2266" spans="1:14" ht="15.6">
      <c r="A2266" s="467">
        <v>45909</v>
      </c>
      <c r="B2266" s="469" t="s">
        <v>2940</v>
      </c>
      <c r="C2266" s="469" t="s">
        <v>173</v>
      </c>
      <c r="D2266" s="469" t="s">
        <v>117</v>
      </c>
      <c r="E2266" s="470">
        <v>1000</v>
      </c>
      <c r="F2266" s="463">
        <f t="shared" si="27"/>
        <v>1.8744037053212446</v>
      </c>
      <c r="G2266" s="464">
        <v>533.50300000000004</v>
      </c>
      <c r="H2266" s="469" t="s">
        <v>583</v>
      </c>
      <c r="I2266" s="469" t="s">
        <v>2970</v>
      </c>
      <c r="J2266" s="247" t="s">
        <v>97</v>
      </c>
      <c r="K2266" s="247" t="s">
        <v>1133</v>
      </c>
      <c r="L2266" s="247" t="s">
        <v>154</v>
      </c>
      <c r="M2266" s="335"/>
      <c r="N2266" s="335"/>
    </row>
    <row r="2267" spans="1:14" ht="15.6">
      <c r="A2267" s="474">
        <v>45909</v>
      </c>
      <c r="B2267" s="475" t="s">
        <v>3754</v>
      </c>
      <c r="C2267" s="475" t="s">
        <v>173</v>
      </c>
      <c r="D2267" s="179" t="s">
        <v>442</v>
      </c>
      <c r="E2267" s="475">
        <v>5000</v>
      </c>
      <c r="F2267" s="463">
        <f t="shared" si="27"/>
        <v>9.3720185266062224</v>
      </c>
      <c r="G2267" s="464">
        <v>533.50300000000004</v>
      </c>
      <c r="H2267" s="475" t="s">
        <v>183</v>
      </c>
      <c r="I2267" s="475" t="s">
        <v>3097</v>
      </c>
      <c r="J2267" s="247" t="s">
        <v>97</v>
      </c>
      <c r="K2267" s="247" t="s">
        <v>1133</v>
      </c>
      <c r="L2267" s="247" t="s">
        <v>154</v>
      </c>
      <c r="M2267" s="414"/>
      <c r="N2267" s="414"/>
    </row>
    <row r="2268" spans="1:14" ht="15.6">
      <c r="A2268" s="474">
        <v>45909</v>
      </c>
      <c r="B2268" s="475" t="s">
        <v>3754</v>
      </c>
      <c r="C2268" s="475" t="s">
        <v>173</v>
      </c>
      <c r="D2268" s="179" t="s">
        <v>442</v>
      </c>
      <c r="E2268" s="475">
        <v>5000</v>
      </c>
      <c r="F2268" s="463">
        <f t="shared" si="27"/>
        <v>9.3720185266062224</v>
      </c>
      <c r="G2268" s="464">
        <v>533.50300000000004</v>
      </c>
      <c r="H2268" s="475" t="s">
        <v>183</v>
      </c>
      <c r="I2268" s="475" t="s">
        <v>3098</v>
      </c>
      <c r="J2268" s="247" t="s">
        <v>97</v>
      </c>
      <c r="K2268" s="247" t="s">
        <v>1133</v>
      </c>
      <c r="L2268" s="247" t="s">
        <v>154</v>
      </c>
      <c r="M2268" s="414"/>
      <c r="N2268" s="414"/>
    </row>
    <row r="2269" spans="1:14" ht="15.6">
      <c r="A2269" s="474">
        <v>45909</v>
      </c>
      <c r="B2269" s="475" t="s">
        <v>3828</v>
      </c>
      <c r="C2269" s="475" t="s">
        <v>173</v>
      </c>
      <c r="D2269" s="179" t="s">
        <v>442</v>
      </c>
      <c r="E2269" s="475">
        <v>1500</v>
      </c>
      <c r="F2269" s="463">
        <f t="shared" si="27"/>
        <v>2.8116055579818666</v>
      </c>
      <c r="G2269" s="464">
        <v>533.50300000000004</v>
      </c>
      <c r="H2269" s="475" t="s">
        <v>183</v>
      </c>
      <c r="I2269" s="475" t="s">
        <v>3086</v>
      </c>
      <c r="J2269" s="247" t="s">
        <v>97</v>
      </c>
      <c r="K2269" s="247" t="s">
        <v>1133</v>
      </c>
      <c r="L2269" s="247" t="s">
        <v>154</v>
      </c>
      <c r="M2269" s="414"/>
      <c r="N2269" s="414"/>
    </row>
    <row r="2270" spans="1:14" ht="15.6">
      <c r="A2270" s="474">
        <v>45909</v>
      </c>
      <c r="B2270" s="475" t="s">
        <v>3829</v>
      </c>
      <c r="C2270" s="475" t="s">
        <v>173</v>
      </c>
      <c r="D2270" s="179" t="s">
        <v>442</v>
      </c>
      <c r="E2270" s="475">
        <v>500</v>
      </c>
      <c r="F2270" s="463">
        <f t="shared" si="27"/>
        <v>0.93720185266062228</v>
      </c>
      <c r="G2270" s="464">
        <v>533.50300000000004</v>
      </c>
      <c r="H2270" s="475" t="s">
        <v>183</v>
      </c>
      <c r="I2270" s="475" t="s">
        <v>3086</v>
      </c>
      <c r="J2270" s="247" t="s">
        <v>97</v>
      </c>
      <c r="K2270" s="247" t="s">
        <v>1133</v>
      </c>
      <c r="L2270" s="247" t="s">
        <v>154</v>
      </c>
      <c r="M2270" s="414"/>
      <c r="N2270" s="414"/>
    </row>
    <row r="2271" spans="1:14" ht="15.6">
      <c r="A2271" s="474">
        <v>45909</v>
      </c>
      <c r="B2271" s="475" t="s">
        <v>3830</v>
      </c>
      <c r="C2271" s="475" t="s">
        <v>173</v>
      </c>
      <c r="D2271" s="179" t="s">
        <v>442</v>
      </c>
      <c r="E2271" s="475">
        <v>700</v>
      </c>
      <c r="F2271" s="463">
        <f t="shared" si="27"/>
        <v>1.3120825937248712</v>
      </c>
      <c r="G2271" s="464">
        <v>533.50300000000004</v>
      </c>
      <c r="H2271" s="475" t="s">
        <v>183</v>
      </c>
      <c r="I2271" s="475" t="s">
        <v>3086</v>
      </c>
      <c r="J2271" s="247" t="s">
        <v>97</v>
      </c>
      <c r="K2271" s="247" t="s">
        <v>1133</v>
      </c>
      <c r="L2271" s="247" t="s">
        <v>154</v>
      </c>
      <c r="M2271" s="414"/>
      <c r="N2271" s="414"/>
    </row>
    <row r="2272" spans="1:14" ht="15.6">
      <c r="A2272" s="474">
        <v>45909</v>
      </c>
      <c r="B2272" s="475" t="s">
        <v>3831</v>
      </c>
      <c r="C2272" s="475" t="s">
        <v>173</v>
      </c>
      <c r="D2272" s="179" t="s">
        <v>442</v>
      </c>
      <c r="E2272" s="475">
        <v>700</v>
      </c>
      <c r="F2272" s="463">
        <f t="shared" si="27"/>
        <v>1.3120825937248712</v>
      </c>
      <c r="G2272" s="464">
        <v>533.50300000000004</v>
      </c>
      <c r="H2272" s="475" t="s">
        <v>183</v>
      </c>
      <c r="I2272" s="475" t="s">
        <v>3086</v>
      </c>
      <c r="J2272" s="247" t="s">
        <v>97</v>
      </c>
      <c r="K2272" s="247" t="s">
        <v>1133</v>
      </c>
      <c r="L2272" s="247" t="s">
        <v>154</v>
      </c>
      <c r="M2272" s="414"/>
      <c r="N2272" s="414"/>
    </row>
    <row r="2273" spans="1:14" ht="15.6">
      <c r="A2273" s="474">
        <v>45909</v>
      </c>
      <c r="B2273" s="475" t="s">
        <v>3831</v>
      </c>
      <c r="C2273" s="475" t="s">
        <v>173</v>
      </c>
      <c r="D2273" s="179" t="s">
        <v>442</v>
      </c>
      <c r="E2273" s="475">
        <v>700</v>
      </c>
      <c r="F2273" s="463">
        <f t="shared" si="27"/>
        <v>1.3120825937248712</v>
      </c>
      <c r="G2273" s="464">
        <v>533.50300000000004</v>
      </c>
      <c r="H2273" s="475" t="s">
        <v>183</v>
      </c>
      <c r="I2273" s="475" t="s">
        <v>3086</v>
      </c>
      <c r="J2273" s="247" t="s">
        <v>97</v>
      </c>
      <c r="K2273" s="247" t="s">
        <v>1133</v>
      </c>
      <c r="L2273" s="247" t="s">
        <v>154</v>
      </c>
      <c r="M2273" s="414"/>
      <c r="N2273" s="414"/>
    </row>
    <row r="2274" spans="1:14" ht="15.6">
      <c r="A2274" s="474">
        <v>45909</v>
      </c>
      <c r="B2274" s="475" t="s">
        <v>3788</v>
      </c>
      <c r="C2274" s="475" t="s">
        <v>173</v>
      </c>
      <c r="D2274" s="179" t="s">
        <v>442</v>
      </c>
      <c r="E2274" s="475">
        <v>500</v>
      </c>
      <c r="F2274" s="463">
        <f t="shared" si="27"/>
        <v>0.93720185266062228</v>
      </c>
      <c r="G2274" s="464">
        <v>533.50300000000004</v>
      </c>
      <c r="H2274" s="475" t="s">
        <v>183</v>
      </c>
      <c r="I2274" s="475" t="s">
        <v>3086</v>
      </c>
      <c r="J2274" s="247" t="s">
        <v>97</v>
      </c>
      <c r="K2274" s="247" t="s">
        <v>1133</v>
      </c>
      <c r="L2274" s="247" t="s">
        <v>154</v>
      </c>
      <c r="M2274" s="414"/>
      <c r="N2274" s="414"/>
    </row>
    <row r="2275" spans="1:14" ht="15.6">
      <c r="A2275" s="474">
        <v>45909</v>
      </c>
      <c r="B2275" s="475" t="s">
        <v>3832</v>
      </c>
      <c r="C2275" s="475" t="s">
        <v>173</v>
      </c>
      <c r="D2275" s="179" t="s">
        <v>442</v>
      </c>
      <c r="E2275" s="475">
        <v>1500</v>
      </c>
      <c r="F2275" s="463">
        <f t="shared" si="27"/>
        <v>2.8116055579818666</v>
      </c>
      <c r="G2275" s="464">
        <v>533.50300000000004</v>
      </c>
      <c r="H2275" s="475" t="s">
        <v>183</v>
      </c>
      <c r="I2275" s="475" t="s">
        <v>3086</v>
      </c>
      <c r="J2275" s="247" t="s">
        <v>97</v>
      </c>
      <c r="K2275" s="247" t="s">
        <v>1133</v>
      </c>
      <c r="L2275" s="247" t="s">
        <v>154</v>
      </c>
      <c r="M2275" s="414"/>
      <c r="N2275" s="414"/>
    </row>
    <row r="2276" spans="1:14" ht="15.6">
      <c r="A2276" s="474">
        <v>45909</v>
      </c>
      <c r="B2276" s="475" t="s">
        <v>3003</v>
      </c>
      <c r="C2276" s="475" t="s">
        <v>368</v>
      </c>
      <c r="D2276" s="179" t="s">
        <v>442</v>
      </c>
      <c r="E2276" s="475">
        <v>2000</v>
      </c>
      <c r="F2276" s="463">
        <f t="shared" si="27"/>
        <v>3.7488074106424891</v>
      </c>
      <c r="G2276" s="464">
        <v>533.50300000000004</v>
      </c>
      <c r="H2276" s="475" t="s">
        <v>183</v>
      </c>
      <c r="I2276" s="475" t="s">
        <v>3092</v>
      </c>
      <c r="J2276" s="247" t="s">
        <v>97</v>
      </c>
      <c r="K2276" s="247" t="s">
        <v>1133</v>
      </c>
      <c r="L2276" s="247" t="s">
        <v>154</v>
      </c>
      <c r="M2276" s="414"/>
      <c r="N2276" s="414"/>
    </row>
    <row r="2277" spans="1:14" ht="15.6">
      <c r="A2277" s="476">
        <v>45909</v>
      </c>
      <c r="B2277" s="469" t="s">
        <v>3924</v>
      </c>
      <c r="C2277" s="469" t="s">
        <v>173</v>
      </c>
      <c r="D2277" s="179" t="s">
        <v>442</v>
      </c>
      <c r="E2277" s="469">
        <v>1000</v>
      </c>
      <c r="F2277" s="463">
        <f t="shared" si="27"/>
        <v>1.8744037053212446</v>
      </c>
      <c r="G2277" s="464">
        <v>533.50300000000004</v>
      </c>
      <c r="H2277" s="469" t="s">
        <v>174</v>
      </c>
      <c r="I2277" s="469" t="s">
        <v>3196</v>
      </c>
      <c r="J2277" s="247" t="s">
        <v>97</v>
      </c>
      <c r="K2277" s="247" t="s">
        <v>1133</v>
      </c>
      <c r="L2277" s="247" t="s">
        <v>154</v>
      </c>
      <c r="M2277" s="335"/>
      <c r="N2277" s="335"/>
    </row>
    <row r="2278" spans="1:14" ht="15.6">
      <c r="A2278" s="476">
        <v>45909</v>
      </c>
      <c r="B2278" s="469" t="s">
        <v>3841</v>
      </c>
      <c r="C2278" s="469" t="s">
        <v>1007</v>
      </c>
      <c r="D2278" s="179" t="s">
        <v>442</v>
      </c>
      <c r="E2278" s="469">
        <v>1000</v>
      </c>
      <c r="F2278" s="463">
        <f t="shared" ref="F2278:F2341" si="28">E2278/G2278</f>
        <v>1.8744037053212446</v>
      </c>
      <c r="G2278" s="464">
        <v>533.50300000000004</v>
      </c>
      <c r="H2278" s="469" t="s">
        <v>174</v>
      </c>
      <c r="I2278" s="469" t="s">
        <v>3196</v>
      </c>
      <c r="J2278" s="247" t="s">
        <v>97</v>
      </c>
      <c r="K2278" s="247" t="s">
        <v>1133</v>
      </c>
      <c r="L2278" s="247" t="s">
        <v>154</v>
      </c>
      <c r="M2278" s="335"/>
      <c r="N2278" s="335"/>
    </row>
    <row r="2279" spans="1:14" ht="15.6">
      <c r="A2279" s="476">
        <v>45909</v>
      </c>
      <c r="B2279" s="469" t="s">
        <v>3930</v>
      </c>
      <c r="C2279" s="469" t="s">
        <v>1007</v>
      </c>
      <c r="D2279" s="179" t="s">
        <v>442</v>
      </c>
      <c r="E2279" s="469">
        <v>1000</v>
      </c>
      <c r="F2279" s="463">
        <f t="shared" si="28"/>
        <v>1.8744037053212446</v>
      </c>
      <c r="G2279" s="464">
        <v>533.50300000000004</v>
      </c>
      <c r="H2279" s="469" t="s">
        <v>174</v>
      </c>
      <c r="I2279" s="469" t="s">
        <v>3196</v>
      </c>
      <c r="J2279" s="247" t="s">
        <v>97</v>
      </c>
      <c r="K2279" s="247" t="s">
        <v>1133</v>
      </c>
      <c r="L2279" s="247" t="s">
        <v>154</v>
      </c>
      <c r="M2279" s="335"/>
      <c r="N2279" s="335"/>
    </row>
    <row r="2280" spans="1:14" ht="15.6">
      <c r="A2280" s="476">
        <v>45909</v>
      </c>
      <c r="B2280" s="469" t="s">
        <v>3926</v>
      </c>
      <c r="C2280" s="469" t="s">
        <v>1007</v>
      </c>
      <c r="D2280" s="179" t="s">
        <v>442</v>
      </c>
      <c r="E2280" s="469">
        <v>1000</v>
      </c>
      <c r="F2280" s="463">
        <f t="shared" si="28"/>
        <v>1.8744037053212446</v>
      </c>
      <c r="G2280" s="464">
        <v>533.50300000000004</v>
      </c>
      <c r="H2280" s="469" t="s">
        <v>174</v>
      </c>
      <c r="I2280" s="469" t="s">
        <v>3196</v>
      </c>
      <c r="J2280" s="247" t="s">
        <v>97</v>
      </c>
      <c r="K2280" s="247" t="s">
        <v>1133</v>
      </c>
      <c r="L2280" s="247" t="s">
        <v>154</v>
      </c>
      <c r="M2280" s="335"/>
      <c r="N2280" s="335"/>
    </row>
    <row r="2281" spans="1:14" ht="15.6">
      <c r="A2281" s="476">
        <v>45909</v>
      </c>
      <c r="B2281" s="469" t="s">
        <v>3926</v>
      </c>
      <c r="C2281" s="469" t="s">
        <v>1007</v>
      </c>
      <c r="D2281" s="179" t="s">
        <v>442</v>
      </c>
      <c r="E2281" s="469">
        <v>1000</v>
      </c>
      <c r="F2281" s="463">
        <f t="shared" si="28"/>
        <v>1.8744037053212446</v>
      </c>
      <c r="G2281" s="464">
        <v>533.50300000000004</v>
      </c>
      <c r="H2281" s="469" t="s">
        <v>174</v>
      </c>
      <c r="I2281" s="469" t="s">
        <v>3196</v>
      </c>
      <c r="J2281" s="247" t="s">
        <v>97</v>
      </c>
      <c r="K2281" s="247" t="s">
        <v>1133</v>
      </c>
      <c r="L2281" s="247" t="s">
        <v>154</v>
      </c>
      <c r="M2281" s="335"/>
      <c r="N2281" s="335"/>
    </row>
    <row r="2282" spans="1:14" ht="15.6">
      <c r="A2282" s="476">
        <v>45909</v>
      </c>
      <c r="B2282" s="469" t="s">
        <v>3125</v>
      </c>
      <c r="C2282" s="469" t="s">
        <v>368</v>
      </c>
      <c r="D2282" s="179" t="s">
        <v>442</v>
      </c>
      <c r="E2282" s="469">
        <v>1500</v>
      </c>
      <c r="F2282" s="463">
        <f t="shared" si="28"/>
        <v>2.8116055579818666</v>
      </c>
      <c r="G2282" s="464">
        <v>533.50300000000004</v>
      </c>
      <c r="H2282" s="469" t="s">
        <v>174</v>
      </c>
      <c r="I2282" s="469" t="s">
        <v>3201</v>
      </c>
      <c r="J2282" s="247" t="s">
        <v>97</v>
      </c>
      <c r="K2282" s="247" t="s">
        <v>1133</v>
      </c>
      <c r="L2282" s="247" t="s">
        <v>154</v>
      </c>
      <c r="M2282" s="335"/>
      <c r="N2282" s="335"/>
    </row>
    <row r="2283" spans="1:14" ht="15.6">
      <c r="A2283" s="476">
        <v>45909</v>
      </c>
      <c r="B2283" s="469" t="s">
        <v>3715</v>
      </c>
      <c r="C2283" s="469" t="s">
        <v>173</v>
      </c>
      <c r="D2283" s="179" t="s">
        <v>442</v>
      </c>
      <c r="E2283" s="469">
        <v>600</v>
      </c>
      <c r="F2283" s="463">
        <f t="shared" si="28"/>
        <v>1.1246422231927466</v>
      </c>
      <c r="G2283" s="464">
        <v>533.50300000000004</v>
      </c>
      <c r="H2283" s="469" t="s">
        <v>316</v>
      </c>
      <c r="I2283" s="469" t="s">
        <v>3260</v>
      </c>
      <c r="J2283" s="247" t="s">
        <v>97</v>
      </c>
      <c r="K2283" s="247" t="s">
        <v>1133</v>
      </c>
      <c r="L2283" s="247" t="s">
        <v>154</v>
      </c>
      <c r="M2283" s="335"/>
      <c r="N2283" s="335"/>
    </row>
    <row r="2284" spans="1:14" ht="15.6">
      <c r="A2284" s="476">
        <v>45909</v>
      </c>
      <c r="B2284" s="469" t="s">
        <v>3716</v>
      </c>
      <c r="C2284" s="469" t="s">
        <v>173</v>
      </c>
      <c r="D2284" s="179" t="s">
        <v>442</v>
      </c>
      <c r="E2284" s="469">
        <v>500</v>
      </c>
      <c r="F2284" s="463">
        <f t="shared" si="28"/>
        <v>0.93720185266062228</v>
      </c>
      <c r="G2284" s="464">
        <v>533.50300000000004</v>
      </c>
      <c r="H2284" s="469" t="s">
        <v>316</v>
      </c>
      <c r="I2284" s="469" t="s">
        <v>3260</v>
      </c>
      <c r="J2284" s="247" t="s">
        <v>97</v>
      </c>
      <c r="K2284" s="247" t="s">
        <v>1133</v>
      </c>
      <c r="L2284" s="247" t="s">
        <v>154</v>
      </c>
      <c r="M2284" s="335"/>
      <c r="N2284" s="335"/>
    </row>
    <row r="2285" spans="1:14" ht="15.6">
      <c r="A2285" s="476">
        <v>45909</v>
      </c>
      <c r="B2285" s="469" t="s">
        <v>3716</v>
      </c>
      <c r="C2285" s="469" t="s">
        <v>173</v>
      </c>
      <c r="D2285" s="179" t="s">
        <v>442</v>
      </c>
      <c r="E2285" s="469">
        <v>500</v>
      </c>
      <c r="F2285" s="463">
        <f t="shared" si="28"/>
        <v>0.93720185266062228</v>
      </c>
      <c r="G2285" s="464">
        <v>533.50300000000004</v>
      </c>
      <c r="H2285" s="469" t="s">
        <v>316</v>
      </c>
      <c r="I2285" s="469" t="s">
        <v>3260</v>
      </c>
      <c r="J2285" s="247" t="s">
        <v>97</v>
      </c>
      <c r="K2285" s="247" t="s">
        <v>1133</v>
      </c>
      <c r="L2285" s="247" t="s">
        <v>154</v>
      </c>
      <c r="M2285" s="335"/>
      <c r="N2285" s="335"/>
    </row>
    <row r="2286" spans="1:14" ht="15.6">
      <c r="A2286" s="476">
        <v>45909</v>
      </c>
      <c r="B2286" s="469" t="s">
        <v>3747</v>
      </c>
      <c r="C2286" s="469" t="s">
        <v>173</v>
      </c>
      <c r="D2286" s="179" t="s">
        <v>442</v>
      </c>
      <c r="E2286" s="469">
        <v>600</v>
      </c>
      <c r="F2286" s="463">
        <f t="shared" si="28"/>
        <v>1.1246422231927466</v>
      </c>
      <c r="G2286" s="464">
        <v>533.50300000000004</v>
      </c>
      <c r="H2286" s="469" t="s">
        <v>316</v>
      </c>
      <c r="I2286" s="469" t="s">
        <v>3260</v>
      </c>
      <c r="J2286" s="247" t="s">
        <v>97</v>
      </c>
      <c r="K2286" s="247" t="s">
        <v>1133</v>
      </c>
      <c r="L2286" s="247" t="s">
        <v>154</v>
      </c>
      <c r="M2286" s="335"/>
      <c r="N2286" s="335"/>
    </row>
    <row r="2287" spans="1:14" ht="15.6">
      <c r="A2287" s="476">
        <v>45909</v>
      </c>
      <c r="B2287" s="469" t="s">
        <v>3748</v>
      </c>
      <c r="C2287" s="469" t="s">
        <v>173</v>
      </c>
      <c r="D2287" s="179" t="s">
        <v>442</v>
      </c>
      <c r="E2287" s="469">
        <v>500</v>
      </c>
      <c r="F2287" s="463">
        <f t="shared" si="28"/>
        <v>0.93720185266062228</v>
      </c>
      <c r="G2287" s="464">
        <v>533.50300000000004</v>
      </c>
      <c r="H2287" s="469" t="s">
        <v>316</v>
      </c>
      <c r="I2287" s="469" t="s">
        <v>3260</v>
      </c>
      <c r="J2287" s="247" t="s">
        <v>97</v>
      </c>
      <c r="K2287" s="247" t="s">
        <v>1133</v>
      </c>
      <c r="L2287" s="247" t="s">
        <v>154</v>
      </c>
      <c r="M2287" s="335"/>
      <c r="N2287" s="335"/>
    </row>
    <row r="2288" spans="1:14" ht="15.6">
      <c r="A2288" s="476">
        <v>45909</v>
      </c>
      <c r="B2288" s="469" t="s">
        <v>3277</v>
      </c>
      <c r="C2288" s="469" t="s">
        <v>173</v>
      </c>
      <c r="D2288" s="179" t="s">
        <v>442</v>
      </c>
      <c r="E2288" s="472">
        <v>1000</v>
      </c>
      <c r="F2288" s="463">
        <f t="shared" si="28"/>
        <v>1.8744037053212446</v>
      </c>
      <c r="G2288" s="464">
        <v>533.50300000000004</v>
      </c>
      <c r="H2288" s="469" t="s">
        <v>322</v>
      </c>
      <c r="I2288" s="469" t="s">
        <v>3301</v>
      </c>
      <c r="J2288" s="247" t="s">
        <v>97</v>
      </c>
      <c r="K2288" s="247" t="s">
        <v>1133</v>
      </c>
      <c r="L2288" s="247" t="s">
        <v>154</v>
      </c>
      <c r="M2288" s="335"/>
      <c r="N2288" s="335"/>
    </row>
    <row r="2289" spans="1:14" ht="15.6">
      <c r="A2289" s="476">
        <v>45909</v>
      </c>
      <c r="B2289" s="469" t="s">
        <v>3278</v>
      </c>
      <c r="C2289" s="469" t="s">
        <v>173</v>
      </c>
      <c r="D2289" s="179" t="s">
        <v>442</v>
      </c>
      <c r="E2289" s="472">
        <v>1000</v>
      </c>
      <c r="F2289" s="463">
        <f t="shared" si="28"/>
        <v>1.8744037053212446</v>
      </c>
      <c r="G2289" s="464">
        <v>533.50300000000004</v>
      </c>
      <c r="H2289" s="469" t="s">
        <v>322</v>
      </c>
      <c r="I2289" s="469" t="s">
        <v>3301</v>
      </c>
      <c r="J2289" s="247" t="s">
        <v>97</v>
      </c>
      <c r="K2289" s="247" t="s">
        <v>1133</v>
      </c>
      <c r="L2289" s="247" t="s">
        <v>154</v>
      </c>
      <c r="M2289" s="335"/>
      <c r="N2289" s="335"/>
    </row>
    <row r="2290" spans="1:14" ht="15.6">
      <c r="A2290" s="476">
        <v>45909</v>
      </c>
      <c r="B2290" s="469" t="s">
        <v>3279</v>
      </c>
      <c r="C2290" s="469" t="s">
        <v>173</v>
      </c>
      <c r="D2290" s="179" t="s">
        <v>442</v>
      </c>
      <c r="E2290" s="472">
        <v>1000</v>
      </c>
      <c r="F2290" s="463">
        <f t="shared" si="28"/>
        <v>1.8744037053212446</v>
      </c>
      <c r="G2290" s="464">
        <v>533.50300000000004</v>
      </c>
      <c r="H2290" s="469" t="s">
        <v>322</v>
      </c>
      <c r="I2290" s="469" t="s">
        <v>3301</v>
      </c>
      <c r="J2290" s="247" t="s">
        <v>97</v>
      </c>
      <c r="K2290" s="247" t="s">
        <v>1133</v>
      </c>
      <c r="L2290" s="247" t="s">
        <v>154</v>
      </c>
      <c r="M2290" s="335"/>
      <c r="N2290" s="335"/>
    </row>
    <row r="2291" spans="1:14" ht="15.6">
      <c r="A2291" s="461">
        <v>45909</v>
      </c>
      <c r="B2291" s="469" t="s">
        <v>3390</v>
      </c>
      <c r="C2291" s="359" t="s">
        <v>195</v>
      </c>
      <c r="D2291" s="359" t="s">
        <v>116</v>
      </c>
      <c r="E2291" s="472">
        <v>500</v>
      </c>
      <c r="F2291" s="463">
        <f t="shared" si="28"/>
        <v>0.93720185266062228</v>
      </c>
      <c r="G2291" s="464">
        <v>533.50300000000004</v>
      </c>
      <c r="H2291" s="256" t="s">
        <v>196</v>
      </c>
      <c r="I2291" s="469" t="s">
        <v>3411</v>
      </c>
      <c r="J2291" s="247" t="s">
        <v>97</v>
      </c>
      <c r="K2291" s="247" t="s">
        <v>1133</v>
      </c>
      <c r="L2291" s="247" t="s">
        <v>154</v>
      </c>
      <c r="M2291" s="76"/>
      <c r="N2291" s="76"/>
    </row>
    <row r="2292" spans="1:14" ht="15.6">
      <c r="A2292" s="461">
        <v>45909</v>
      </c>
      <c r="B2292" s="469" t="s">
        <v>2696</v>
      </c>
      <c r="C2292" s="359" t="s">
        <v>195</v>
      </c>
      <c r="D2292" s="359" t="s">
        <v>116</v>
      </c>
      <c r="E2292" s="472">
        <v>500</v>
      </c>
      <c r="F2292" s="463">
        <f t="shared" si="28"/>
        <v>0.93720185266062228</v>
      </c>
      <c r="G2292" s="464">
        <v>533.50300000000004</v>
      </c>
      <c r="H2292" s="256" t="s">
        <v>196</v>
      </c>
      <c r="I2292" s="469" t="s">
        <v>3411</v>
      </c>
      <c r="J2292" s="247" t="s">
        <v>97</v>
      </c>
      <c r="K2292" s="247" t="s">
        <v>1133</v>
      </c>
      <c r="L2292" s="247" t="s">
        <v>154</v>
      </c>
      <c r="M2292" s="76"/>
      <c r="N2292" s="76"/>
    </row>
    <row r="2293" spans="1:14" ht="15.6">
      <c r="A2293" s="461">
        <v>45911</v>
      </c>
      <c r="B2293" s="469" t="s">
        <v>3380</v>
      </c>
      <c r="C2293" s="359" t="s">
        <v>195</v>
      </c>
      <c r="D2293" s="359" t="s">
        <v>116</v>
      </c>
      <c r="E2293" s="472">
        <v>500</v>
      </c>
      <c r="F2293" s="463">
        <f t="shared" si="28"/>
        <v>0.93720185266062228</v>
      </c>
      <c r="G2293" s="464">
        <v>533.50300000000004</v>
      </c>
      <c r="H2293" s="256" t="s">
        <v>196</v>
      </c>
      <c r="I2293" s="469" t="s">
        <v>3411</v>
      </c>
      <c r="J2293" s="247" t="s">
        <v>97</v>
      </c>
      <c r="K2293" s="247" t="s">
        <v>1133</v>
      </c>
      <c r="L2293" s="247" t="s">
        <v>154</v>
      </c>
      <c r="M2293" s="76"/>
      <c r="N2293" s="76"/>
    </row>
    <row r="2294" spans="1:14" ht="15.6">
      <c r="A2294" s="471">
        <v>45909</v>
      </c>
      <c r="B2294" s="247" t="s">
        <v>3463</v>
      </c>
      <c r="C2294" s="469" t="s">
        <v>264</v>
      </c>
      <c r="D2294" s="174" t="s">
        <v>2088</v>
      </c>
      <c r="E2294" s="468">
        <v>30000</v>
      </c>
      <c r="F2294" s="463">
        <f t="shared" si="28"/>
        <v>56.232111159637334</v>
      </c>
      <c r="G2294" s="464">
        <v>533.50300000000004</v>
      </c>
      <c r="H2294" s="469" t="s">
        <v>212</v>
      </c>
      <c r="I2294" s="247" t="s">
        <v>3480</v>
      </c>
      <c r="J2294" s="247" t="s">
        <v>97</v>
      </c>
      <c r="K2294" s="247" t="s">
        <v>1133</v>
      </c>
      <c r="L2294" s="247" t="s">
        <v>154</v>
      </c>
      <c r="M2294" s="76"/>
      <c r="N2294" s="76"/>
    </row>
    <row r="2295" spans="1:14" ht="15.6">
      <c r="A2295" s="476">
        <v>45910</v>
      </c>
      <c r="B2295" s="469" t="s">
        <v>2854</v>
      </c>
      <c r="C2295" s="462" t="s">
        <v>173</v>
      </c>
      <c r="D2295" s="462" t="s">
        <v>118</v>
      </c>
      <c r="E2295" s="359">
        <v>1000</v>
      </c>
      <c r="F2295" s="463">
        <f t="shared" si="28"/>
        <v>1.8744037053212446</v>
      </c>
      <c r="G2295" s="464">
        <v>533.50300000000004</v>
      </c>
      <c r="H2295" s="465" t="s">
        <v>152</v>
      </c>
      <c r="I2295" s="469" t="s">
        <v>2868</v>
      </c>
      <c r="J2295" s="247" t="s">
        <v>97</v>
      </c>
      <c r="K2295" s="247" t="s">
        <v>1133</v>
      </c>
      <c r="L2295" s="247" t="s">
        <v>154</v>
      </c>
      <c r="M2295" s="414"/>
      <c r="N2295" s="414"/>
    </row>
    <row r="2296" spans="1:14" ht="15.6">
      <c r="A2296" s="476">
        <v>45910</v>
      </c>
      <c r="B2296" s="469" t="s">
        <v>2855</v>
      </c>
      <c r="C2296" s="462" t="s">
        <v>173</v>
      </c>
      <c r="D2296" s="462" t="s">
        <v>118</v>
      </c>
      <c r="E2296" s="359">
        <v>1000</v>
      </c>
      <c r="F2296" s="463">
        <f t="shared" si="28"/>
        <v>1.8744037053212446</v>
      </c>
      <c r="G2296" s="464">
        <v>533.50300000000004</v>
      </c>
      <c r="H2296" s="465" t="s">
        <v>152</v>
      </c>
      <c r="I2296" s="469" t="s">
        <v>2868</v>
      </c>
      <c r="J2296" s="247" t="s">
        <v>97</v>
      </c>
      <c r="K2296" s="247" t="s">
        <v>1133</v>
      </c>
      <c r="L2296" s="247" t="s">
        <v>154</v>
      </c>
      <c r="M2296" s="414"/>
      <c r="N2296" s="414"/>
    </row>
    <row r="2297" spans="1:14" ht="15.6">
      <c r="A2297" s="467">
        <v>45910</v>
      </c>
      <c r="B2297" s="469" t="s">
        <v>2941</v>
      </c>
      <c r="C2297" s="469" t="s">
        <v>173</v>
      </c>
      <c r="D2297" s="469" t="s">
        <v>117</v>
      </c>
      <c r="E2297" s="470">
        <v>1000</v>
      </c>
      <c r="F2297" s="463">
        <f t="shared" si="28"/>
        <v>1.8744037053212446</v>
      </c>
      <c r="G2297" s="464">
        <v>533.50300000000004</v>
      </c>
      <c r="H2297" s="469" t="s">
        <v>583</v>
      </c>
      <c r="I2297" s="469" t="s">
        <v>2970</v>
      </c>
      <c r="J2297" s="247" t="s">
        <v>97</v>
      </c>
      <c r="K2297" s="247" t="s">
        <v>1133</v>
      </c>
      <c r="L2297" s="247" t="s">
        <v>154</v>
      </c>
      <c r="M2297" s="335"/>
      <c r="N2297" s="335"/>
    </row>
    <row r="2298" spans="1:14" ht="15.6">
      <c r="A2298" s="467">
        <v>45910</v>
      </c>
      <c r="B2298" s="469" t="s">
        <v>2940</v>
      </c>
      <c r="C2298" s="469" t="s">
        <v>173</v>
      </c>
      <c r="D2298" s="469" t="s">
        <v>117</v>
      </c>
      <c r="E2298" s="470">
        <v>1000</v>
      </c>
      <c r="F2298" s="463">
        <f t="shared" si="28"/>
        <v>1.8744037053212446</v>
      </c>
      <c r="G2298" s="464">
        <v>533.50300000000004</v>
      </c>
      <c r="H2298" s="469" t="s">
        <v>583</v>
      </c>
      <c r="I2298" s="469" t="s">
        <v>2970</v>
      </c>
      <c r="J2298" s="247" t="s">
        <v>97</v>
      </c>
      <c r="K2298" s="247" t="s">
        <v>1133</v>
      </c>
      <c r="L2298" s="247" t="s">
        <v>154</v>
      </c>
      <c r="M2298" s="414"/>
      <c r="N2298" s="414"/>
    </row>
    <row r="2299" spans="1:14" ht="15.6">
      <c r="A2299" s="474">
        <v>45910</v>
      </c>
      <c r="B2299" s="475" t="s">
        <v>3778</v>
      </c>
      <c r="C2299" s="475" t="s">
        <v>173</v>
      </c>
      <c r="D2299" s="179" t="s">
        <v>442</v>
      </c>
      <c r="E2299" s="475">
        <v>1000</v>
      </c>
      <c r="F2299" s="463">
        <f t="shared" si="28"/>
        <v>1.8744037053212446</v>
      </c>
      <c r="G2299" s="464">
        <v>533.50300000000004</v>
      </c>
      <c r="H2299" s="475" t="s">
        <v>183</v>
      </c>
      <c r="I2299" s="475" t="s">
        <v>3086</v>
      </c>
      <c r="J2299" s="247" t="s">
        <v>97</v>
      </c>
      <c r="K2299" s="247" t="s">
        <v>1133</v>
      </c>
      <c r="L2299" s="247" t="s">
        <v>154</v>
      </c>
      <c r="M2299" s="414"/>
      <c r="N2299" s="414"/>
    </row>
    <row r="2300" spans="1:14" ht="15.6">
      <c r="A2300" s="474">
        <v>45910</v>
      </c>
      <c r="B2300" s="475" t="s">
        <v>3779</v>
      </c>
      <c r="C2300" s="475" t="s">
        <v>173</v>
      </c>
      <c r="D2300" s="179" t="s">
        <v>442</v>
      </c>
      <c r="E2300" s="475">
        <v>1000</v>
      </c>
      <c r="F2300" s="463">
        <f t="shared" si="28"/>
        <v>1.8744037053212446</v>
      </c>
      <c r="G2300" s="464">
        <v>533.50300000000004</v>
      </c>
      <c r="H2300" s="475" t="s">
        <v>183</v>
      </c>
      <c r="I2300" s="475" t="s">
        <v>3086</v>
      </c>
      <c r="J2300" s="247" t="s">
        <v>97</v>
      </c>
      <c r="K2300" s="247" t="s">
        <v>1133</v>
      </c>
      <c r="L2300" s="247" t="s">
        <v>154</v>
      </c>
      <c r="M2300" s="414"/>
      <c r="N2300" s="414"/>
    </row>
    <row r="2301" spans="1:14" ht="15.6">
      <c r="A2301" s="474">
        <v>45910</v>
      </c>
      <c r="B2301" s="475" t="s">
        <v>3833</v>
      </c>
      <c r="C2301" s="475" t="s">
        <v>173</v>
      </c>
      <c r="D2301" s="179" t="s">
        <v>442</v>
      </c>
      <c r="E2301" s="475">
        <v>1000</v>
      </c>
      <c r="F2301" s="463">
        <f t="shared" si="28"/>
        <v>1.8744037053212446</v>
      </c>
      <c r="G2301" s="464">
        <v>533.50300000000004</v>
      </c>
      <c r="H2301" s="475" t="s">
        <v>183</v>
      </c>
      <c r="I2301" s="475" t="s">
        <v>3086</v>
      </c>
      <c r="J2301" s="247" t="s">
        <v>97</v>
      </c>
      <c r="K2301" s="247" t="s">
        <v>1133</v>
      </c>
      <c r="L2301" s="247" t="s">
        <v>154</v>
      </c>
      <c r="M2301" s="335"/>
      <c r="N2301" s="335"/>
    </row>
    <row r="2302" spans="1:14" ht="15.6">
      <c r="A2302" s="474">
        <v>45910</v>
      </c>
      <c r="B2302" s="475" t="s">
        <v>3778</v>
      </c>
      <c r="C2302" s="475" t="s">
        <v>173</v>
      </c>
      <c r="D2302" s="179" t="s">
        <v>442</v>
      </c>
      <c r="E2302" s="475">
        <v>1000</v>
      </c>
      <c r="F2302" s="463">
        <f t="shared" si="28"/>
        <v>1.8744037053212446</v>
      </c>
      <c r="G2302" s="464">
        <v>533.50300000000004</v>
      </c>
      <c r="H2302" s="475" t="s">
        <v>183</v>
      </c>
      <c r="I2302" s="475" t="s">
        <v>3086</v>
      </c>
      <c r="J2302" s="247" t="s">
        <v>97</v>
      </c>
      <c r="K2302" s="247" t="s">
        <v>1133</v>
      </c>
      <c r="L2302" s="247" t="s">
        <v>154</v>
      </c>
      <c r="M2302" s="335"/>
      <c r="N2302" s="335"/>
    </row>
    <row r="2303" spans="1:14" ht="15.6">
      <c r="A2303" s="474">
        <v>45910</v>
      </c>
      <c r="B2303" s="475" t="s">
        <v>3834</v>
      </c>
      <c r="C2303" s="475" t="s">
        <v>173</v>
      </c>
      <c r="D2303" s="179" t="s">
        <v>442</v>
      </c>
      <c r="E2303" s="475">
        <v>1000</v>
      </c>
      <c r="F2303" s="463">
        <f t="shared" si="28"/>
        <v>1.8744037053212446</v>
      </c>
      <c r="G2303" s="464">
        <v>533.50300000000004</v>
      </c>
      <c r="H2303" s="475" t="s">
        <v>183</v>
      </c>
      <c r="I2303" s="475" t="s">
        <v>3086</v>
      </c>
      <c r="J2303" s="247" t="s">
        <v>97</v>
      </c>
      <c r="K2303" s="247" t="s">
        <v>1133</v>
      </c>
      <c r="L2303" s="247" t="s">
        <v>154</v>
      </c>
      <c r="M2303" s="335"/>
      <c r="N2303" s="335"/>
    </row>
    <row r="2304" spans="1:14" ht="15.6">
      <c r="A2304" s="474">
        <v>45910</v>
      </c>
      <c r="B2304" s="475" t="s">
        <v>3032</v>
      </c>
      <c r="C2304" s="475" t="s">
        <v>173</v>
      </c>
      <c r="D2304" s="179" t="s">
        <v>442</v>
      </c>
      <c r="E2304" s="475">
        <v>2000</v>
      </c>
      <c r="F2304" s="463">
        <f t="shared" si="28"/>
        <v>3.7488074106424891</v>
      </c>
      <c r="G2304" s="464">
        <v>533.50300000000004</v>
      </c>
      <c r="H2304" s="475" t="s">
        <v>183</v>
      </c>
      <c r="I2304" s="475" t="s">
        <v>3086</v>
      </c>
      <c r="J2304" s="247" t="s">
        <v>97</v>
      </c>
      <c r="K2304" s="247" t="s">
        <v>1133</v>
      </c>
      <c r="L2304" s="247" t="s">
        <v>154</v>
      </c>
      <c r="M2304" s="335"/>
      <c r="N2304" s="335"/>
    </row>
    <row r="2305" spans="1:14" ht="15.6">
      <c r="A2305" s="476">
        <v>45910</v>
      </c>
      <c r="B2305" s="469" t="s">
        <v>3841</v>
      </c>
      <c r="C2305" s="469" t="s">
        <v>173</v>
      </c>
      <c r="D2305" s="179" t="s">
        <v>442</v>
      </c>
      <c r="E2305" s="469">
        <v>1000</v>
      </c>
      <c r="F2305" s="463">
        <f t="shared" si="28"/>
        <v>1.8744037053212446</v>
      </c>
      <c r="G2305" s="464">
        <v>533.50300000000004</v>
      </c>
      <c r="H2305" s="469" t="s">
        <v>174</v>
      </c>
      <c r="I2305" s="469" t="s">
        <v>3196</v>
      </c>
      <c r="J2305" s="247" t="s">
        <v>97</v>
      </c>
      <c r="K2305" s="247" t="s">
        <v>1133</v>
      </c>
      <c r="L2305" s="247" t="s">
        <v>154</v>
      </c>
      <c r="M2305" s="414"/>
      <c r="N2305" s="414"/>
    </row>
    <row r="2306" spans="1:14" ht="15.6">
      <c r="A2306" s="476">
        <v>45910</v>
      </c>
      <c r="B2306" s="469" t="s">
        <v>3926</v>
      </c>
      <c r="C2306" s="469" t="s">
        <v>173</v>
      </c>
      <c r="D2306" s="179" t="s">
        <v>442</v>
      </c>
      <c r="E2306" s="469">
        <v>1000</v>
      </c>
      <c r="F2306" s="463">
        <f t="shared" si="28"/>
        <v>1.8744037053212446</v>
      </c>
      <c r="G2306" s="464">
        <v>533.50300000000004</v>
      </c>
      <c r="H2306" s="469" t="s">
        <v>174</v>
      </c>
      <c r="I2306" s="469" t="s">
        <v>3196</v>
      </c>
      <c r="J2306" s="247" t="s">
        <v>97</v>
      </c>
      <c r="K2306" s="247" t="s">
        <v>1133</v>
      </c>
      <c r="L2306" s="247" t="s">
        <v>154</v>
      </c>
      <c r="M2306" s="414"/>
      <c r="N2306" s="414"/>
    </row>
    <row r="2307" spans="1:14" ht="15.6">
      <c r="A2307" s="476">
        <v>45910</v>
      </c>
      <c r="B2307" s="469" t="s">
        <v>3931</v>
      </c>
      <c r="C2307" s="469" t="s">
        <v>173</v>
      </c>
      <c r="D2307" s="179" t="s">
        <v>442</v>
      </c>
      <c r="E2307" s="469">
        <v>1000</v>
      </c>
      <c r="F2307" s="463">
        <f t="shared" si="28"/>
        <v>1.8744037053212446</v>
      </c>
      <c r="G2307" s="464">
        <v>533.50300000000004</v>
      </c>
      <c r="H2307" s="469" t="s">
        <v>174</v>
      </c>
      <c r="I2307" s="469" t="s">
        <v>3196</v>
      </c>
      <c r="J2307" s="247" t="s">
        <v>97</v>
      </c>
      <c r="K2307" s="247" t="s">
        <v>1133</v>
      </c>
      <c r="L2307" s="247" t="s">
        <v>154</v>
      </c>
      <c r="M2307" s="414"/>
      <c r="N2307" s="414"/>
    </row>
    <row r="2308" spans="1:14" ht="15.6">
      <c r="A2308" s="476">
        <v>45910</v>
      </c>
      <c r="B2308" s="469" t="s">
        <v>3931</v>
      </c>
      <c r="C2308" s="469" t="s">
        <v>173</v>
      </c>
      <c r="D2308" s="179" t="s">
        <v>442</v>
      </c>
      <c r="E2308" s="469">
        <v>1000</v>
      </c>
      <c r="F2308" s="463">
        <f t="shared" si="28"/>
        <v>1.8744037053212446</v>
      </c>
      <c r="G2308" s="464">
        <v>533.50300000000004</v>
      </c>
      <c r="H2308" s="469" t="s">
        <v>174</v>
      </c>
      <c r="I2308" s="469" t="s">
        <v>3196</v>
      </c>
      <c r="J2308" s="247" t="s">
        <v>97</v>
      </c>
      <c r="K2308" s="247" t="s">
        <v>1133</v>
      </c>
      <c r="L2308" s="247" t="s">
        <v>154</v>
      </c>
      <c r="M2308" s="414"/>
      <c r="N2308" s="414"/>
    </row>
    <row r="2309" spans="1:14" ht="15.6">
      <c r="A2309" s="476">
        <v>45910</v>
      </c>
      <c r="B2309" s="469" t="s">
        <v>3126</v>
      </c>
      <c r="C2309" s="469" t="s">
        <v>173</v>
      </c>
      <c r="D2309" s="179" t="s">
        <v>442</v>
      </c>
      <c r="E2309" s="469">
        <v>1000</v>
      </c>
      <c r="F2309" s="463">
        <f t="shared" si="28"/>
        <v>1.8744037053212446</v>
      </c>
      <c r="G2309" s="464">
        <v>533.50300000000004</v>
      </c>
      <c r="H2309" s="469" t="s">
        <v>174</v>
      </c>
      <c r="I2309" s="469" t="s">
        <v>3196</v>
      </c>
      <c r="J2309" s="247" t="s">
        <v>97</v>
      </c>
      <c r="K2309" s="247" t="s">
        <v>1133</v>
      </c>
      <c r="L2309" s="247" t="s">
        <v>154</v>
      </c>
      <c r="M2309" s="414"/>
      <c r="N2309" s="414"/>
    </row>
    <row r="2310" spans="1:14" ht="15.6">
      <c r="A2310" s="476">
        <v>45910</v>
      </c>
      <c r="B2310" s="469" t="s">
        <v>3930</v>
      </c>
      <c r="C2310" s="469" t="s">
        <v>173</v>
      </c>
      <c r="D2310" s="179" t="s">
        <v>442</v>
      </c>
      <c r="E2310" s="469">
        <v>1000</v>
      </c>
      <c r="F2310" s="463">
        <f t="shared" si="28"/>
        <v>1.8744037053212446</v>
      </c>
      <c r="G2310" s="464">
        <v>533.50300000000004</v>
      </c>
      <c r="H2310" s="469" t="s">
        <v>174</v>
      </c>
      <c r="I2310" s="469" t="s">
        <v>3196</v>
      </c>
      <c r="J2310" s="247" t="s">
        <v>97</v>
      </c>
      <c r="K2310" s="247" t="s">
        <v>1133</v>
      </c>
      <c r="L2310" s="247" t="s">
        <v>154</v>
      </c>
      <c r="M2310" s="414"/>
      <c r="N2310" s="414"/>
    </row>
    <row r="2311" spans="1:14" ht="15.6">
      <c r="A2311" s="476">
        <v>45910</v>
      </c>
      <c r="B2311" s="469" t="s">
        <v>3127</v>
      </c>
      <c r="C2311" s="469" t="s">
        <v>368</v>
      </c>
      <c r="D2311" s="179" t="s">
        <v>442</v>
      </c>
      <c r="E2311" s="469">
        <v>2000</v>
      </c>
      <c r="F2311" s="463">
        <f t="shared" si="28"/>
        <v>3.7488074106424891</v>
      </c>
      <c r="G2311" s="464">
        <v>533.50300000000004</v>
      </c>
      <c r="H2311" s="469" t="s">
        <v>174</v>
      </c>
      <c r="I2311" s="469" t="s">
        <v>3201</v>
      </c>
      <c r="J2311" s="247" t="s">
        <v>97</v>
      </c>
      <c r="K2311" s="247" t="s">
        <v>1133</v>
      </c>
      <c r="L2311" s="247" t="s">
        <v>154</v>
      </c>
      <c r="M2311" s="414"/>
      <c r="N2311" s="414"/>
    </row>
    <row r="2312" spans="1:14" ht="15.6">
      <c r="A2312" s="476">
        <v>45910</v>
      </c>
      <c r="B2312" s="469" t="s">
        <v>3702</v>
      </c>
      <c r="C2312" s="469" t="s">
        <v>176</v>
      </c>
      <c r="D2312" s="179" t="s">
        <v>442</v>
      </c>
      <c r="E2312" s="469">
        <v>30000</v>
      </c>
      <c r="F2312" s="463">
        <f t="shared" si="28"/>
        <v>56.232111159637334</v>
      </c>
      <c r="G2312" s="464">
        <v>533.50300000000004</v>
      </c>
      <c r="H2312" s="469" t="s">
        <v>316</v>
      </c>
      <c r="I2312" s="247" t="s">
        <v>3270</v>
      </c>
      <c r="J2312" s="247" t="s">
        <v>97</v>
      </c>
      <c r="K2312" s="247" t="s">
        <v>1133</v>
      </c>
      <c r="L2312" s="247" t="s">
        <v>154</v>
      </c>
      <c r="M2312" s="335"/>
      <c r="N2312" s="335"/>
    </row>
    <row r="2313" spans="1:14" ht="15.6">
      <c r="A2313" s="476">
        <v>45910</v>
      </c>
      <c r="B2313" s="469" t="s">
        <v>3749</v>
      </c>
      <c r="C2313" s="469" t="s">
        <v>173</v>
      </c>
      <c r="D2313" s="179" t="s">
        <v>442</v>
      </c>
      <c r="E2313" s="469">
        <v>500</v>
      </c>
      <c r="F2313" s="463">
        <f t="shared" si="28"/>
        <v>0.93720185266062228</v>
      </c>
      <c r="G2313" s="464">
        <v>533.50300000000004</v>
      </c>
      <c r="H2313" s="469" t="s">
        <v>316</v>
      </c>
      <c r="I2313" s="469" t="s">
        <v>3260</v>
      </c>
      <c r="J2313" s="247" t="s">
        <v>97</v>
      </c>
      <c r="K2313" s="247" t="s">
        <v>1133</v>
      </c>
      <c r="L2313" s="247" t="s">
        <v>154</v>
      </c>
      <c r="M2313" s="335"/>
      <c r="N2313" s="335"/>
    </row>
    <row r="2314" spans="1:14" ht="15.6">
      <c r="A2314" s="476">
        <v>45910</v>
      </c>
      <c r="B2314" s="469" t="s">
        <v>3689</v>
      </c>
      <c r="C2314" s="469" t="s">
        <v>173</v>
      </c>
      <c r="D2314" s="179" t="s">
        <v>442</v>
      </c>
      <c r="E2314" s="469">
        <v>7000</v>
      </c>
      <c r="F2314" s="463">
        <f t="shared" si="28"/>
        <v>13.120825937248712</v>
      </c>
      <c r="G2314" s="464">
        <v>533.50300000000004</v>
      </c>
      <c r="H2314" s="469" t="s">
        <v>316</v>
      </c>
      <c r="I2314" s="247" t="s">
        <v>3270</v>
      </c>
      <c r="J2314" s="247" t="s">
        <v>97</v>
      </c>
      <c r="K2314" s="247" t="s">
        <v>1133</v>
      </c>
      <c r="L2314" s="247" t="s">
        <v>154</v>
      </c>
      <c r="M2314" s="335"/>
      <c r="N2314" s="335"/>
    </row>
    <row r="2315" spans="1:14" ht="15.6">
      <c r="A2315" s="476">
        <v>45910</v>
      </c>
      <c r="B2315" s="469" t="s">
        <v>3750</v>
      </c>
      <c r="C2315" s="469" t="s">
        <v>173</v>
      </c>
      <c r="D2315" s="179" t="s">
        <v>442</v>
      </c>
      <c r="E2315" s="469">
        <v>2500</v>
      </c>
      <c r="F2315" s="463">
        <f t="shared" si="28"/>
        <v>4.6860092633031112</v>
      </c>
      <c r="G2315" s="464">
        <v>533.50300000000004</v>
      </c>
      <c r="H2315" s="469" t="s">
        <v>316</v>
      </c>
      <c r="I2315" s="469" t="s">
        <v>3260</v>
      </c>
      <c r="J2315" s="247" t="s">
        <v>97</v>
      </c>
      <c r="K2315" s="247" t="s">
        <v>1133</v>
      </c>
      <c r="L2315" s="247" t="s">
        <v>154</v>
      </c>
      <c r="M2315" s="335"/>
      <c r="N2315" s="335"/>
    </row>
    <row r="2316" spans="1:14" ht="15.6">
      <c r="A2316" s="476">
        <v>45910</v>
      </c>
      <c r="B2316" s="469" t="s">
        <v>3280</v>
      </c>
      <c r="C2316" s="469" t="s">
        <v>173</v>
      </c>
      <c r="D2316" s="179" t="s">
        <v>442</v>
      </c>
      <c r="E2316" s="472">
        <v>1000</v>
      </c>
      <c r="F2316" s="463">
        <f t="shared" si="28"/>
        <v>1.8744037053212446</v>
      </c>
      <c r="G2316" s="464">
        <v>533.50300000000004</v>
      </c>
      <c r="H2316" s="469" t="s">
        <v>322</v>
      </c>
      <c r="I2316" s="469" t="s">
        <v>3301</v>
      </c>
      <c r="J2316" s="247" t="s">
        <v>97</v>
      </c>
      <c r="K2316" s="247" t="s">
        <v>1133</v>
      </c>
      <c r="L2316" s="247" t="s">
        <v>154</v>
      </c>
      <c r="M2316" s="335"/>
      <c r="N2316" s="335"/>
    </row>
    <row r="2317" spans="1:14" ht="15.6">
      <c r="A2317" s="476">
        <v>45910</v>
      </c>
      <c r="B2317" s="469" t="s">
        <v>3281</v>
      </c>
      <c r="C2317" s="469" t="s">
        <v>173</v>
      </c>
      <c r="D2317" s="179" t="s">
        <v>442</v>
      </c>
      <c r="E2317" s="472">
        <v>1000</v>
      </c>
      <c r="F2317" s="463">
        <f t="shared" si="28"/>
        <v>1.8744037053212446</v>
      </c>
      <c r="G2317" s="464">
        <v>533.50300000000004</v>
      </c>
      <c r="H2317" s="469" t="s">
        <v>322</v>
      </c>
      <c r="I2317" s="469" t="s">
        <v>3301</v>
      </c>
      <c r="J2317" s="247" t="s">
        <v>97</v>
      </c>
      <c r="K2317" s="247" t="s">
        <v>1133</v>
      </c>
      <c r="L2317" s="247" t="s">
        <v>154</v>
      </c>
      <c r="M2317" s="335"/>
      <c r="N2317" s="335"/>
    </row>
    <row r="2318" spans="1:14" ht="15.6">
      <c r="A2318" s="476">
        <v>45910</v>
      </c>
      <c r="B2318" s="469" t="s">
        <v>3282</v>
      </c>
      <c r="C2318" s="469" t="s">
        <v>173</v>
      </c>
      <c r="D2318" s="179" t="s">
        <v>442</v>
      </c>
      <c r="E2318" s="472">
        <v>1000</v>
      </c>
      <c r="F2318" s="463">
        <f t="shared" si="28"/>
        <v>1.8744037053212446</v>
      </c>
      <c r="G2318" s="464">
        <v>533.50300000000004</v>
      </c>
      <c r="H2318" s="469" t="s">
        <v>322</v>
      </c>
      <c r="I2318" s="469" t="s">
        <v>3301</v>
      </c>
      <c r="J2318" s="247" t="s">
        <v>97</v>
      </c>
      <c r="K2318" s="247" t="s">
        <v>1133</v>
      </c>
      <c r="L2318" s="247" t="s">
        <v>154</v>
      </c>
      <c r="M2318" s="335"/>
      <c r="N2318" s="335"/>
    </row>
    <row r="2319" spans="1:14" ht="15.6">
      <c r="A2319" s="471">
        <v>45910</v>
      </c>
      <c r="B2319" s="469" t="s">
        <v>3348</v>
      </c>
      <c r="C2319" s="247" t="s">
        <v>173</v>
      </c>
      <c r="D2319" s="247" t="s">
        <v>116</v>
      </c>
      <c r="E2319" s="468">
        <v>1000</v>
      </c>
      <c r="F2319" s="463">
        <f t="shared" si="28"/>
        <v>1.8744037053212446</v>
      </c>
      <c r="G2319" s="464">
        <v>533.50300000000004</v>
      </c>
      <c r="H2319" s="247" t="s">
        <v>192</v>
      </c>
      <c r="I2319" s="469" t="s">
        <v>3360</v>
      </c>
      <c r="J2319" s="247" t="s">
        <v>97</v>
      </c>
      <c r="K2319" s="247" t="s">
        <v>1133</v>
      </c>
      <c r="L2319" s="247" t="s">
        <v>154</v>
      </c>
      <c r="M2319" s="76"/>
      <c r="N2319" s="76"/>
    </row>
    <row r="2320" spans="1:14" ht="15.6">
      <c r="A2320" s="471">
        <v>45910</v>
      </c>
      <c r="B2320" s="469" t="s">
        <v>2637</v>
      </c>
      <c r="C2320" s="247" t="s">
        <v>173</v>
      </c>
      <c r="D2320" s="247" t="s">
        <v>116</v>
      </c>
      <c r="E2320" s="468">
        <v>1000</v>
      </c>
      <c r="F2320" s="463">
        <f t="shared" si="28"/>
        <v>1.8744037053212446</v>
      </c>
      <c r="G2320" s="464">
        <v>533.50300000000004</v>
      </c>
      <c r="H2320" s="247" t="s">
        <v>192</v>
      </c>
      <c r="I2320" s="469" t="s">
        <v>3360</v>
      </c>
      <c r="J2320" s="247" t="s">
        <v>97</v>
      </c>
      <c r="K2320" s="247" t="s">
        <v>1133</v>
      </c>
      <c r="L2320" s="247" t="s">
        <v>154</v>
      </c>
      <c r="M2320" s="76"/>
      <c r="N2320" s="76"/>
    </row>
    <row r="2321" spans="1:14" ht="15.6">
      <c r="A2321" s="476">
        <v>45910</v>
      </c>
      <c r="B2321" s="469" t="s">
        <v>3489</v>
      </c>
      <c r="C2321" s="469" t="s">
        <v>173</v>
      </c>
      <c r="D2321" s="469" t="s">
        <v>116</v>
      </c>
      <c r="E2321" s="469">
        <v>500</v>
      </c>
      <c r="F2321" s="463">
        <f t="shared" si="28"/>
        <v>0.93720185266062228</v>
      </c>
      <c r="G2321" s="464">
        <v>533.50300000000004</v>
      </c>
      <c r="H2321" s="469" t="s">
        <v>186</v>
      </c>
      <c r="I2321" s="469" t="s">
        <v>3504</v>
      </c>
      <c r="J2321" s="247" t="s">
        <v>97</v>
      </c>
      <c r="K2321" s="247" t="s">
        <v>1133</v>
      </c>
      <c r="L2321" s="247" t="s">
        <v>154</v>
      </c>
      <c r="M2321" s="76"/>
      <c r="N2321" s="76"/>
    </row>
    <row r="2322" spans="1:14" ht="15.6">
      <c r="A2322" s="476">
        <v>45910</v>
      </c>
      <c r="B2322" s="469" t="s">
        <v>2757</v>
      </c>
      <c r="C2322" s="469" t="s">
        <v>173</v>
      </c>
      <c r="D2322" s="469" t="s">
        <v>116</v>
      </c>
      <c r="E2322" s="469">
        <v>500</v>
      </c>
      <c r="F2322" s="463">
        <f t="shared" si="28"/>
        <v>0.93720185266062228</v>
      </c>
      <c r="G2322" s="464">
        <v>533.50300000000004</v>
      </c>
      <c r="H2322" s="469" t="s">
        <v>186</v>
      </c>
      <c r="I2322" s="469" t="s">
        <v>3504</v>
      </c>
      <c r="J2322" s="247" t="s">
        <v>97</v>
      </c>
      <c r="K2322" s="247" t="s">
        <v>1133</v>
      </c>
      <c r="L2322" s="247" t="s">
        <v>154</v>
      </c>
      <c r="M2322" s="76"/>
      <c r="N2322" s="76"/>
    </row>
    <row r="2323" spans="1:14" ht="15.6">
      <c r="A2323" s="476">
        <v>45910</v>
      </c>
      <c r="B2323" s="469" t="s">
        <v>3490</v>
      </c>
      <c r="C2323" s="469" t="s">
        <v>173</v>
      </c>
      <c r="D2323" s="469" t="s">
        <v>116</v>
      </c>
      <c r="E2323" s="469">
        <v>1000</v>
      </c>
      <c r="F2323" s="463">
        <f t="shared" si="28"/>
        <v>1.8744037053212446</v>
      </c>
      <c r="G2323" s="464">
        <v>533.50300000000004</v>
      </c>
      <c r="H2323" s="469" t="s">
        <v>186</v>
      </c>
      <c r="I2323" s="469" t="s">
        <v>3504</v>
      </c>
      <c r="J2323" s="247" t="s">
        <v>97</v>
      </c>
      <c r="K2323" s="247" t="s">
        <v>1133</v>
      </c>
      <c r="L2323" s="247" t="s">
        <v>154</v>
      </c>
      <c r="M2323" s="76"/>
      <c r="N2323" s="76"/>
    </row>
    <row r="2324" spans="1:14" ht="15.6">
      <c r="A2324" s="476">
        <v>45910</v>
      </c>
      <c r="B2324" s="469" t="s">
        <v>3491</v>
      </c>
      <c r="C2324" s="469" t="s">
        <v>173</v>
      </c>
      <c r="D2324" s="469" t="s">
        <v>116</v>
      </c>
      <c r="E2324" s="469">
        <v>1000</v>
      </c>
      <c r="F2324" s="463">
        <f t="shared" si="28"/>
        <v>1.8744037053212446</v>
      </c>
      <c r="G2324" s="464">
        <v>533.50300000000004</v>
      </c>
      <c r="H2324" s="469" t="s">
        <v>186</v>
      </c>
      <c r="I2324" s="469" t="s">
        <v>3504</v>
      </c>
      <c r="J2324" s="247" t="s">
        <v>97</v>
      </c>
      <c r="K2324" s="247" t="s">
        <v>1133</v>
      </c>
      <c r="L2324" s="247" t="s">
        <v>154</v>
      </c>
      <c r="M2324" s="76"/>
      <c r="N2324" s="76"/>
    </row>
    <row r="2325" spans="1:14" ht="15.6">
      <c r="A2325" s="476">
        <v>45910</v>
      </c>
      <c r="B2325" s="469" t="s">
        <v>3492</v>
      </c>
      <c r="C2325" s="469" t="s">
        <v>173</v>
      </c>
      <c r="D2325" s="469" t="s">
        <v>116</v>
      </c>
      <c r="E2325" s="469">
        <v>500</v>
      </c>
      <c r="F2325" s="463">
        <f t="shared" si="28"/>
        <v>0.93720185266062228</v>
      </c>
      <c r="G2325" s="464">
        <v>533.50300000000004</v>
      </c>
      <c r="H2325" s="469" t="s">
        <v>186</v>
      </c>
      <c r="I2325" s="469" t="s">
        <v>3504</v>
      </c>
      <c r="J2325" s="247" t="s">
        <v>97</v>
      </c>
      <c r="K2325" s="247" t="s">
        <v>1133</v>
      </c>
      <c r="L2325" s="247" t="s">
        <v>154</v>
      </c>
      <c r="M2325" s="76"/>
      <c r="N2325" s="76"/>
    </row>
    <row r="2326" spans="1:14" ht="15.6">
      <c r="A2326" s="476">
        <v>45910</v>
      </c>
      <c r="B2326" s="469" t="s">
        <v>2757</v>
      </c>
      <c r="C2326" s="469" t="s">
        <v>173</v>
      </c>
      <c r="D2326" s="469" t="s">
        <v>116</v>
      </c>
      <c r="E2326" s="469">
        <v>500</v>
      </c>
      <c r="F2326" s="463">
        <f t="shared" si="28"/>
        <v>0.93720185266062228</v>
      </c>
      <c r="G2326" s="464">
        <v>533.50300000000004</v>
      </c>
      <c r="H2326" s="469" t="s">
        <v>186</v>
      </c>
      <c r="I2326" s="469" t="s">
        <v>3504</v>
      </c>
      <c r="J2326" s="247" t="s">
        <v>97</v>
      </c>
      <c r="K2326" s="247" t="s">
        <v>1133</v>
      </c>
      <c r="L2326" s="247" t="s">
        <v>154</v>
      </c>
      <c r="M2326" s="76"/>
      <c r="N2326" s="76"/>
    </row>
    <row r="2327" spans="1:14" ht="15.6">
      <c r="A2327" s="471">
        <v>45910</v>
      </c>
      <c r="B2327" s="247" t="s">
        <v>3494</v>
      </c>
      <c r="C2327" s="469" t="s">
        <v>181</v>
      </c>
      <c r="D2327" s="469" t="s">
        <v>117</v>
      </c>
      <c r="E2327" s="468">
        <v>7860</v>
      </c>
      <c r="F2327" s="463">
        <f t="shared" si="28"/>
        <v>14.732813123824982</v>
      </c>
      <c r="G2327" s="464">
        <v>533.50300000000004</v>
      </c>
      <c r="H2327" s="469" t="s">
        <v>186</v>
      </c>
      <c r="I2327" s="247" t="s">
        <v>3508</v>
      </c>
      <c r="J2327" s="247" t="s">
        <v>97</v>
      </c>
      <c r="K2327" s="247" t="s">
        <v>1133</v>
      </c>
      <c r="L2327" s="247" t="s">
        <v>154</v>
      </c>
      <c r="M2327" s="76"/>
      <c r="N2327" s="76"/>
    </row>
    <row r="2328" spans="1:14" ht="15.6">
      <c r="A2328" s="476">
        <v>45911</v>
      </c>
      <c r="B2328" s="469" t="s">
        <v>2100</v>
      </c>
      <c r="C2328" s="462" t="s">
        <v>173</v>
      </c>
      <c r="D2328" s="462" t="s">
        <v>118</v>
      </c>
      <c r="E2328" s="359">
        <v>1000</v>
      </c>
      <c r="F2328" s="463">
        <f t="shared" si="28"/>
        <v>1.8744037053212446</v>
      </c>
      <c r="G2328" s="464">
        <v>533.50300000000004</v>
      </c>
      <c r="H2328" s="465" t="s">
        <v>152</v>
      </c>
      <c r="I2328" s="469" t="s">
        <v>2868</v>
      </c>
      <c r="J2328" s="247" t="s">
        <v>97</v>
      </c>
      <c r="K2328" s="247" t="s">
        <v>1133</v>
      </c>
      <c r="L2328" s="247" t="s">
        <v>154</v>
      </c>
      <c r="M2328" s="335"/>
      <c r="N2328" s="335"/>
    </row>
    <row r="2329" spans="1:14" ht="15.6">
      <c r="A2329" s="476">
        <v>45911</v>
      </c>
      <c r="B2329" s="469" t="s">
        <v>2384</v>
      </c>
      <c r="C2329" s="462" t="s">
        <v>173</v>
      </c>
      <c r="D2329" s="462" t="s">
        <v>118</v>
      </c>
      <c r="E2329" s="359">
        <v>1000</v>
      </c>
      <c r="F2329" s="463">
        <f t="shared" si="28"/>
        <v>1.8744037053212446</v>
      </c>
      <c r="G2329" s="464">
        <v>533.50300000000004</v>
      </c>
      <c r="H2329" s="465" t="s">
        <v>152</v>
      </c>
      <c r="I2329" s="469" t="s">
        <v>2868</v>
      </c>
      <c r="J2329" s="247" t="s">
        <v>97</v>
      </c>
      <c r="K2329" s="247" t="s">
        <v>1133</v>
      </c>
      <c r="L2329" s="247" t="s">
        <v>154</v>
      </c>
      <c r="M2329" s="335"/>
      <c r="N2329" s="335"/>
    </row>
    <row r="2330" spans="1:14" ht="15.6">
      <c r="A2330" s="474">
        <v>45911</v>
      </c>
      <c r="B2330" s="216" t="s">
        <v>2887</v>
      </c>
      <c r="C2330" s="216" t="s">
        <v>173</v>
      </c>
      <c r="D2330" s="337" t="s">
        <v>116</v>
      </c>
      <c r="E2330" s="475">
        <v>500</v>
      </c>
      <c r="F2330" s="463">
        <f t="shared" si="28"/>
        <v>0.93720185266062228</v>
      </c>
      <c r="G2330" s="464">
        <v>533.50300000000004</v>
      </c>
      <c r="H2330" s="174" t="s">
        <v>199</v>
      </c>
      <c r="I2330" s="216" t="s">
        <v>2911</v>
      </c>
      <c r="J2330" s="247" t="s">
        <v>97</v>
      </c>
      <c r="K2330" s="247" t="s">
        <v>1133</v>
      </c>
      <c r="L2330" s="247" t="s">
        <v>154</v>
      </c>
      <c r="M2330" s="335"/>
      <c r="N2330" s="335"/>
    </row>
    <row r="2331" spans="1:14" ht="15.6">
      <c r="A2331" s="474">
        <v>45911</v>
      </c>
      <c r="B2331" s="216" t="s">
        <v>2888</v>
      </c>
      <c r="C2331" s="216" t="s">
        <v>173</v>
      </c>
      <c r="D2331" s="337" t="s">
        <v>116</v>
      </c>
      <c r="E2331" s="475">
        <v>500</v>
      </c>
      <c r="F2331" s="463">
        <f t="shared" si="28"/>
        <v>0.93720185266062228</v>
      </c>
      <c r="G2331" s="464">
        <v>533.50300000000004</v>
      </c>
      <c r="H2331" s="174" t="s">
        <v>199</v>
      </c>
      <c r="I2331" s="216" t="s">
        <v>2911</v>
      </c>
      <c r="J2331" s="247" t="s">
        <v>97</v>
      </c>
      <c r="K2331" s="247" t="s">
        <v>1133</v>
      </c>
      <c r="L2331" s="247" t="s">
        <v>154</v>
      </c>
      <c r="M2331" s="335"/>
      <c r="N2331" s="335"/>
    </row>
    <row r="2332" spans="1:14" ht="15.6">
      <c r="A2332" s="474">
        <v>45911</v>
      </c>
      <c r="B2332" s="475" t="s">
        <v>3835</v>
      </c>
      <c r="C2332" s="475" t="s">
        <v>173</v>
      </c>
      <c r="D2332" s="179" t="s">
        <v>442</v>
      </c>
      <c r="E2332" s="475">
        <v>1000</v>
      </c>
      <c r="F2332" s="463">
        <f t="shared" si="28"/>
        <v>1.8744037053212446</v>
      </c>
      <c r="G2332" s="464">
        <v>533.50300000000004</v>
      </c>
      <c r="H2332" s="475" t="s">
        <v>183</v>
      </c>
      <c r="I2332" s="475" t="s">
        <v>3086</v>
      </c>
      <c r="J2332" s="247" t="s">
        <v>97</v>
      </c>
      <c r="K2332" s="247" t="s">
        <v>1133</v>
      </c>
      <c r="L2332" s="247" t="s">
        <v>154</v>
      </c>
      <c r="M2332" s="414"/>
      <c r="N2332" s="414"/>
    </row>
    <row r="2333" spans="1:14" ht="15.6">
      <c r="A2333" s="474">
        <v>45911</v>
      </c>
      <c r="B2333" s="475" t="s">
        <v>3836</v>
      </c>
      <c r="C2333" s="475" t="s">
        <v>173</v>
      </c>
      <c r="D2333" s="179" t="s">
        <v>442</v>
      </c>
      <c r="E2333" s="475">
        <v>1000</v>
      </c>
      <c r="F2333" s="463">
        <f t="shared" si="28"/>
        <v>1.8744037053212446</v>
      </c>
      <c r="G2333" s="464">
        <v>533.50300000000004</v>
      </c>
      <c r="H2333" s="475" t="s">
        <v>183</v>
      </c>
      <c r="I2333" s="475" t="s">
        <v>3086</v>
      </c>
      <c r="J2333" s="247" t="s">
        <v>97</v>
      </c>
      <c r="K2333" s="247" t="s">
        <v>1133</v>
      </c>
      <c r="L2333" s="247" t="s">
        <v>154</v>
      </c>
      <c r="M2333" s="414"/>
      <c r="N2333" s="414"/>
    </row>
    <row r="2334" spans="1:14" ht="15.6">
      <c r="A2334" s="474">
        <v>45911</v>
      </c>
      <c r="B2334" s="475" t="s">
        <v>3837</v>
      </c>
      <c r="C2334" s="475" t="s">
        <v>173</v>
      </c>
      <c r="D2334" s="179" t="s">
        <v>442</v>
      </c>
      <c r="E2334" s="475">
        <v>1000</v>
      </c>
      <c r="F2334" s="463">
        <f t="shared" si="28"/>
        <v>1.8744037053212446</v>
      </c>
      <c r="G2334" s="464">
        <v>533.50300000000004</v>
      </c>
      <c r="H2334" s="475" t="s">
        <v>183</v>
      </c>
      <c r="I2334" s="475" t="s">
        <v>3086</v>
      </c>
      <c r="J2334" s="247" t="s">
        <v>97</v>
      </c>
      <c r="K2334" s="247" t="s">
        <v>1133</v>
      </c>
      <c r="L2334" s="247" t="s">
        <v>154</v>
      </c>
      <c r="M2334" s="414"/>
      <c r="N2334" s="414"/>
    </row>
    <row r="2335" spans="1:14" ht="15.6">
      <c r="A2335" s="474">
        <v>45911</v>
      </c>
      <c r="B2335" s="475" t="s">
        <v>3838</v>
      </c>
      <c r="C2335" s="475" t="s">
        <v>173</v>
      </c>
      <c r="D2335" s="179" t="s">
        <v>442</v>
      </c>
      <c r="E2335" s="475">
        <v>1000</v>
      </c>
      <c r="F2335" s="463">
        <f t="shared" si="28"/>
        <v>1.8744037053212446</v>
      </c>
      <c r="G2335" s="464">
        <v>533.50300000000004</v>
      </c>
      <c r="H2335" s="475" t="s">
        <v>183</v>
      </c>
      <c r="I2335" s="475" t="s">
        <v>3086</v>
      </c>
      <c r="J2335" s="247" t="s">
        <v>97</v>
      </c>
      <c r="K2335" s="247" t="s">
        <v>1133</v>
      </c>
      <c r="L2335" s="247" t="s">
        <v>154</v>
      </c>
      <c r="M2335" s="414"/>
      <c r="N2335" s="414"/>
    </row>
    <row r="2336" spans="1:14" ht="15.6">
      <c r="A2336" s="474">
        <v>45911</v>
      </c>
      <c r="B2336" s="475" t="s">
        <v>3839</v>
      </c>
      <c r="C2336" s="475" t="s">
        <v>173</v>
      </c>
      <c r="D2336" s="179" t="s">
        <v>442</v>
      </c>
      <c r="E2336" s="475">
        <v>1000</v>
      </c>
      <c r="F2336" s="463">
        <f t="shared" si="28"/>
        <v>1.8744037053212446</v>
      </c>
      <c r="G2336" s="464">
        <v>533.50300000000004</v>
      </c>
      <c r="H2336" s="475" t="s">
        <v>183</v>
      </c>
      <c r="I2336" s="475" t="s">
        <v>3086</v>
      </c>
      <c r="J2336" s="247" t="s">
        <v>97</v>
      </c>
      <c r="K2336" s="247" t="s">
        <v>1133</v>
      </c>
      <c r="L2336" s="247" t="s">
        <v>154</v>
      </c>
      <c r="M2336" s="414"/>
      <c r="N2336" s="414"/>
    </row>
    <row r="2337" spans="1:14" ht="15.6">
      <c r="A2337" s="474">
        <v>45911</v>
      </c>
      <c r="B2337" s="475" t="s">
        <v>3840</v>
      </c>
      <c r="C2337" s="475" t="s">
        <v>173</v>
      </c>
      <c r="D2337" s="179" t="s">
        <v>442</v>
      </c>
      <c r="E2337" s="475">
        <v>1000</v>
      </c>
      <c r="F2337" s="463">
        <f t="shared" si="28"/>
        <v>1.8744037053212446</v>
      </c>
      <c r="G2337" s="464">
        <v>533.50300000000004</v>
      </c>
      <c r="H2337" s="475" t="s">
        <v>183</v>
      </c>
      <c r="I2337" s="475" t="s">
        <v>3086</v>
      </c>
      <c r="J2337" s="247" t="s">
        <v>97</v>
      </c>
      <c r="K2337" s="247" t="s">
        <v>1133</v>
      </c>
      <c r="L2337" s="247" t="s">
        <v>154</v>
      </c>
      <c r="M2337" s="414"/>
      <c r="N2337" s="414"/>
    </row>
    <row r="2338" spans="1:14" ht="15.6">
      <c r="A2338" s="474">
        <v>45911</v>
      </c>
      <c r="B2338" s="475" t="s">
        <v>3841</v>
      </c>
      <c r="C2338" s="475" t="s">
        <v>173</v>
      </c>
      <c r="D2338" s="179" t="s">
        <v>442</v>
      </c>
      <c r="E2338" s="475">
        <v>1000</v>
      </c>
      <c r="F2338" s="463">
        <f t="shared" si="28"/>
        <v>1.8744037053212446</v>
      </c>
      <c r="G2338" s="464">
        <v>533.50300000000004</v>
      </c>
      <c r="H2338" s="475" t="s">
        <v>183</v>
      </c>
      <c r="I2338" s="475" t="s">
        <v>3086</v>
      </c>
      <c r="J2338" s="247" t="s">
        <v>97</v>
      </c>
      <c r="K2338" s="247" t="s">
        <v>1133</v>
      </c>
      <c r="L2338" s="247" t="s">
        <v>154</v>
      </c>
      <c r="M2338" s="414"/>
      <c r="N2338" s="414"/>
    </row>
    <row r="2339" spans="1:14" ht="15.6">
      <c r="A2339" s="476">
        <v>45911</v>
      </c>
      <c r="B2339" s="469" t="s">
        <v>3932</v>
      </c>
      <c r="C2339" s="469" t="s">
        <v>173</v>
      </c>
      <c r="D2339" s="179" t="s">
        <v>442</v>
      </c>
      <c r="E2339" s="469">
        <v>1000</v>
      </c>
      <c r="F2339" s="463">
        <f t="shared" si="28"/>
        <v>1.8744037053212446</v>
      </c>
      <c r="G2339" s="464">
        <v>533.50300000000004</v>
      </c>
      <c r="H2339" s="469" t="s">
        <v>174</v>
      </c>
      <c r="I2339" s="469" t="s">
        <v>3196</v>
      </c>
      <c r="J2339" s="247" t="s">
        <v>97</v>
      </c>
      <c r="K2339" s="247" t="s">
        <v>1133</v>
      </c>
      <c r="L2339" s="247" t="s">
        <v>154</v>
      </c>
      <c r="M2339" s="414"/>
      <c r="N2339" s="414"/>
    </row>
    <row r="2340" spans="1:14" ht="15.6">
      <c r="A2340" s="476">
        <v>45911</v>
      </c>
      <c r="B2340" s="469" t="s">
        <v>3933</v>
      </c>
      <c r="C2340" s="469" t="s">
        <v>173</v>
      </c>
      <c r="D2340" s="179" t="s">
        <v>442</v>
      </c>
      <c r="E2340" s="469">
        <v>1000</v>
      </c>
      <c r="F2340" s="463">
        <f t="shared" si="28"/>
        <v>1.8744037053212446</v>
      </c>
      <c r="G2340" s="464">
        <v>533.50300000000004</v>
      </c>
      <c r="H2340" s="469" t="s">
        <v>174</v>
      </c>
      <c r="I2340" s="469" t="s">
        <v>3196</v>
      </c>
      <c r="J2340" s="247" t="s">
        <v>97</v>
      </c>
      <c r="K2340" s="247" t="s">
        <v>1133</v>
      </c>
      <c r="L2340" s="247" t="s">
        <v>154</v>
      </c>
      <c r="M2340" s="414"/>
      <c r="N2340" s="414"/>
    </row>
    <row r="2341" spans="1:14" ht="15.6">
      <c r="A2341" s="476">
        <v>45911</v>
      </c>
      <c r="B2341" s="469" t="s">
        <v>3934</v>
      </c>
      <c r="C2341" s="469" t="s">
        <v>173</v>
      </c>
      <c r="D2341" s="179" t="s">
        <v>442</v>
      </c>
      <c r="E2341" s="469">
        <v>1000</v>
      </c>
      <c r="F2341" s="463">
        <f t="shared" si="28"/>
        <v>1.8744037053212446</v>
      </c>
      <c r="G2341" s="464">
        <v>533.50300000000004</v>
      </c>
      <c r="H2341" s="469" t="s">
        <v>174</v>
      </c>
      <c r="I2341" s="469" t="s">
        <v>3196</v>
      </c>
      <c r="J2341" s="247" t="s">
        <v>97</v>
      </c>
      <c r="K2341" s="247" t="s">
        <v>1133</v>
      </c>
      <c r="L2341" s="247" t="s">
        <v>154</v>
      </c>
      <c r="M2341" s="414"/>
      <c r="N2341" s="414"/>
    </row>
    <row r="2342" spans="1:14" ht="15.6">
      <c r="A2342" s="476">
        <v>45911</v>
      </c>
      <c r="B2342" s="469" t="s">
        <v>3935</v>
      </c>
      <c r="C2342" s="469" t="s">
        <v>173</v>
      </c>
      <c r="D2342" s="179" t="s">
        <v>442</v>
      </c>
      <c r="E2342" s="469">
        <v>1000</v>
      </c>
      <c r="F2342" s="463">
        <f t="shared" ref="F2342:F2405" si="29">E2342/G2342</f>
        <v>1.8744037053212446</v>
      </c>
      <c r="G2342" s="464">
        <v>533.50300000000004</v>
      </c>
      <c r="H2342" s="469" t="s">
        <v>174</v>
      </c>
      <c r="I2342" s="469" t="s">
        <v>3196</v>
      </c>
      <c r="J2342" s="247" t="s">
        <v>97</v>
      </c>
      <c r="K2342" s="247" t="s">
        <v>1133</v>
      </c>
      <c r="L2342" s="247" t="s">
        <v>154</v>
      </c>
      <c r="M2342" s="414"/>
      <c r="N2342" s="414"/>
    </row>
    <row r="2343" spans="1:14" ht="15.6">
      <c r="A2343" s="476">
        <v>45911</v>
      </c>
      <c r="B2343" s="469" t="s">
        <v>3936</v>
      </c>
      <c r="C2343" s="469" t="s">
        <v>173</v>
      </c>
      <c r="D2343" s="179" t="s">
        <v>442</v>
      </c>
      <c r="E2343" s="469">
        <v>1000</v>
      </c>
      <c r="F2343" s="463">
        <f t="shared" si="29"/>
        <v>1.8744037053212446</v>
      </c>
      <c r="G2343" s="464">
        <v>533.50300000000004</v>
      </c>
      <c r="H2343" s="469" t="s">
        <v>174</v>
      </c>
      <c r="I2343" s="469" t="s">
        <v>3196</v>
      </c>
      <c r="J2343" s="247" t="s">
        <v>97</v>
      </c>
      <c r="K2343" s="247" t="s">
        <v>1133</v>
      </c>
      <c r="L2343" s="247" t="s">
        <v>154</v>
      </c>
      <c r="M2343" s="414"/>
      <c r="N2343" s="414"/>
    </row>
    <row r="2344" spans="1:14" ht="15.6">
      <c r="A2344" s="476">
        <v>45911</v>
      </c>
      <c r="B2344" s="469" t="s">
        <v>3937</v>
      </c>
      <c r="C2344" s="469" t="s">
        <v>173</v>
      </c>
      <c r="D2344" s="179" t="s">
        <v>442</v>
      </c>
      <c r="E2344" s="469">
        <v>1000</v>
      </c>
      <c r="F2344" s="463">
        <f t="shared" si="29"/>
        <v>1.8744037053212446</v>
      </c>
      <c r="G2344" s="464">
        <v>533.50300000000004</v>
      </c>
      <c r="H2344" s="469" t="s">
        <v>174</v>
      </c>
      <c r="I2344" s="469" t="s">
        <v>3196</v>
      </c>
      <c r="J2344" s="247" t="s">
        <v>97</v>
      </c>
      <c r="K2344" s="247" t="s">
        <v>1133</v>
      </c>
      <c r="L2344" s="247" t="s">
        <v>154</v>
      </c>
      <c r="M2344" s="414"/>
      <c r="N2344" s="414"/>
    </row>
    <row r="2345" spans="1:14" ht="15.6">
      <c r="A2345" s="476">
        <v>45911</v>
      </c>
      <c r="B2345" s="469" t="s">
        <v>3938</v>
      </c>
      <c r="C2345" s="469" t="s">
        <v>173</v>
      </c>
      <c r="D2345" s="179" t="s">
        <v>442</v>
      </c>
      <c r="E2345" s="469">
        <v>1000</v>
      </c>
      <c r="F2345" s="463">
        <f t="shared" si="29"/>
        <v>1.8744037053212446</v>
      </c>
      <c r="G2345" s="464">
        <v>533.50300000000004</v>
      </c>
      <c r="H2345" s="469" t="s">
        <v>174</v>
      </c>
      <c r="I2345" s="469" t="s">
        <v>3196</v>
      </c>
      <c r="J2345" s="247" t="s">
        <v>97</v>
      </c>
      <c r="K2345" s="247" t="s">
        <v>1133</v>
      </c>
      <c r="L2345" s="247" t="s">
        <v>154</v>
      </c>
      <c r="M2345" s="414"/>
      <c r="N2345" s="414"/>
    </row>
    <row r="2346" spans="1:14" ht="15.6">
      <c r="A2346" s="476">
        <v>45911</v>
      </c>
      <c r="B2346" s="469" t="s">
        <v>3939</v>
      </c>
      <c r="C2346" s="469" t="s">
        <v>173</v>
      </c>
      <c r="D2346" s="179" t="s">
        <v>442</v>
      </c>
      <c r="E2346" s="469">
        <v>1000</v>
      </c>
      <c r="F2346" s="463">
        <f t="shared" si="29"/>
        <v>1.8744037053212446</v>
      </c>
      <c r="G2346" s="464">
        <v>533.50300000000004</v>
      </c>
      <c r="H2346" s="469" t="s">
        <v>174</v>
      </c>
      <c r="I2346" s="469" t="s">
        <v>3196</v>
      </c>
      <c r="J2346" s="247" t="s">
        <v>97</v>
      </c>
      <c r="K2346" s="247" t="s">
        <v>1133</v>
      </c>
      <c r="L2346" s="247" t="s">
        <v>154</v>
      </c>
      <c r="M2346" s="414"/>
      <c r="N2346" s="414"/>
    </row>
    <row r="2347" spans="1:14" ht="15.6">
      <c r="A2347" s="471">
        <v>45911</v>
      </c>
      <c r="B2347" s="247" t="s">
        <v>3137</v>
      </c>
      <c r="C2347" s="247" t="s">
        <v>368</v>
      </c>
      <c r="D2347" s="179" t="s">
        <v>442</v>
      </c>
      <c r="E2347" s="247">
        <v>10500</v>
      </c>
      <c r="F2347" s="463">
        <f t="shared" si="29"/>
        <v>19.681238905873066</v>
      </c>
      <c r="G2347" s="464">
        <v>533.50300000000004</v>
      </c>
      <c r="H2347" s="247" t="s">
        <v>174</v>
      </c>
      <c r="I2347" s="469" t="s">
        <v>3201</v>
      </c>
      <c r="J2347" s="247" t="s">
        <v>97</v>
      </c>
      <c r="K2347" s="247" t="s">
        <v>1133</v>
      </c>
      <c r="L2347" s="247" t="s">
        <v>154</v>
      </c>
      <c r="M2347" s="414"/>
      <c r="N2347" s="414"/>
    </row>
    <row r="2348" spans="1:14" ht="15.6">
      <c r="A2348" s="471">
        <v>45911</v>
      </c>
      <c r="B2348" s="469" t="s">
        <v>3349</v>
      </c>
      <c r="C2348" s="247" t="s">
        <v>173</v>
      </c>
      <c r="D2348" s="247" t="s">
        <v>116</v>
      </c>
      <c r="E2348" s="468">
        <v>1000</v>
      </c>
      <c r="F2348" s="463">
        <f t="shared" si="29"/>
        <v>1.8744037053212446</v>
      </c>
      <c r="G2348" s="464">
        <v>533.50300000000004</v>
      </c>
      <c r="H2348" s="247" t="s">
        <v>192</v>
      </c>
      <c r="I2348" s="469" t="s">
        <v>3360</v>
      </c>
      <c r="J2348" s="247" t="s">
        <v>97</v>
      </c>
      <c r="K2348" s="247" t="s">
        <v>1133</v>
      </c>
      <c r="L2348" s="247" t="s">
        <v>154</v>
      </c>
      <c r="M2348" s="76"/>
      <c r="N2348" s="76"/>
    </row>
    <row r="2349" spans="1:14" ht="15.6">
      <c r="A2349" s="471">
        <v>45911</v>
      </c>
      <c r="B2349" s="469" t="s">
        <v>2637</v>
      </c>
      <c r="C2349" s="247" t="s">
        <v>173</v>
      </c>
      <c r="D2349" s="247" t="s">
        <v>116</v>
      </c>
      <c r="E2349" s="468">
        <v>1000</v>
      </c>
      <c r="F2349" s="463">
        <f t="shared" si="29"/>
        <v>1.8744037053212446</v>
      </c>
      <c r="G2349" s="464">
        <v>533.50300000000004</v>
      </c>
      <c r="H2349" s="247" t="s">
        <v>192</v>
      </c>
      <c r="I2349" s="469" t="s">
        <v>3360</v>
      </c>
      <c r="J2349" s="247" t="s">
        <v>97</v>
      </c>
      <c r="K2349" s="247" t="s">
        <v>1133</v>
      </c>
      <c r="L2349" s="247" t="s">
        <v>154</v>
      </c>
      <c r="M2349" s="76"/>
      <c r="N2349" s="76"/>
    </row>
    <row r="2350" spans="1:14" ht="15.6">
      <c r="A2350" s="461">
        <v>45911</v>
      </c>
      <c r="B2350" s="469" t="s">
        <v>3391</v>
      </c>
      <c r="C2350" s="359" t="s">
        <v>195</v>
      </c>
      <c r="D2350" s="359" t="s">
        <v>116</v>
      </c>
      <c r="E2350" s="472">
        <v>500</v>
      </c>
      <c r="F2350" s="463">
        <f t="shared" si="29"/>
        <v>0.93720185266062228</v>
      </c>
      <c r="G2350" s="464">
        <v>533.50300000000004</v>
      </c>
      <c r="H2350" s="256" t="s">
        <v>196</v>
      </c>
      <c r="I2350" s="469" t="s">
        <v>3411</v>
      </c>
      <c r="J2350" s="247" t="s">
        <v>97</v>
      </c>
      <c r="K2350" s="247" t="s">
        <v>1133</v>
      </c>
      <c r="L2350" s="247" t="s">
        <v>154</v>
      </c>
      <c r="M2350" s="76"/>
      <c r="N2350" s="76"/>
    </row>
    <row r="2351" spans="1:14" ht="15.6">
      <c r="A2351" s="461">
        <v>45911</v>
      </c>
      <c r="B2351" s="469" t="s">
        <v>3377</v>
      </c>
      <c r="C2351" s="359" t="s">
        <v>195</v>
      </c>
      <c r="D2351" s="359" t="s">
        <v>116</v>
      </c>
      <c r="E2351" s="472">
        <v>500</v>
      </c>
      <c r="F2351" s="463">
        <f t="shared" si="29"/>
        <v>0.93720185266062228</v>
      </c>
      <c r="G2351" s="464">
        <v>533.50300000000004</v>
      </c>
      <c r="H2351" s="256" t="s">
        <v>196</v>
      </c>
      <c r="I2351" s="469" t="s">
        <v>3411</v>
      </c>
      <c r="J2351" s="247" t="s">
        <v>97</v>
      </c>
      <c r="K2351" s="247" t="s">
        <v>1133</v>
      </c>
      <c r="L2351" s="247" t="s">
        <v>154</v>
      </c>
      <c r="M2351" s="76"/>
      <c r="N2351" s="76"/>
    </row>
    <row r="2352" spans="1:14" ht="15.6">
      <c r="A2352" s="461">
        <v>45911</v>
      </c>
      <c r="B2352" s="469" t="s">
        <v>3392</v>
      </c>
      <c r="C2352" s="359" t="s">
        <v>195</v>
      </c>
      <c r="D2352" s="359" t="s">
        <v>116</v>
      </c>
      <c r="E2352" s="472">
        <v>500</v>
      </c>
      <c r="F2352" s="463">
        <f t="shared" si="29"/>
        <v>0.93720185266062228</v>
      </c>
      <c r="G2352" s="464">
        <v>533.50300000000004</v>
      </c>
      <c r="H2352" s="256" t="s">
        <v>196</v>
      </c>
      <c r="I2352" s="469" t="s">
        <v>3411</v>
      </c>
      <c r="J2352" s="247" t="s">
        <v>97</v>
      </c>
      <c r="K2352" s="247" t="s">
        <v>1133</v>
      </c>
      <c r="L2352" s="247" t="s">
        <v>154</v>
      </c>
      <c r="M2352" s="76"/>
      <c r="N2352" s="76"/>
    </row>
    <row r="2353" spans="1:14" ht="15.6">
      <c r="A2353" s="461">
        <v>45911</v>
      </c>
      <c r="B2353" s="469" t="s">
        <v>3377</v>
      </c>
      <c r="C2353" s="359" t="s">
        <v>195</v>
      </c>
      <c r="D2353" s="359" t="s">
        <v>116</v>
      </c>
      <c r="E2353" s="472">
        <v>500</v>
      </c>
      <c r="F2353" s="463">
        <f t="shared" si="29"/>
        <v>0.93720185266062228</v>
      </c>
      <c r="G2353" s="464">
        <v>533.50300000000004</v>
      </c>
      <c r="H2353" s="256" t="s">
        <v>196</v>
      </c>
      <c r="I2353" s="469" t="s">
        <v>3411</v>
      </c>
      <c r="J2353" s="247" t="s">
        <v>97</v>
      </c>
      <c r="K2353" s="247" t="s">
        <v>1133</v>
      </c>
      <c r="L2353" s="247" t="s">
        <v>154</v>
      </c>
      <c r="M2353" s="76"/>
      <c r="N2353" s="76"/>
    </row>
    <row r="2354" spans="1:14" ht="15.6">
      <c r="A2354" s="461">
        <v>45912</v>
      </c>
      <c r="B2354" s="247" t="s">
        <v>3378</v>
      </c>
      <c r="C2354" s="243" t="s">
        <v>195</v>
      </c>
      <c r="D2354" s="243" t="s">
        <v>116</v>
      </c>
      <c r="E2354" s="478">
        <v>37000</v>
      </c>
      <c r="F2354" s="463">
        <f t="shared" si="29"/>
        <v>65.960473631854981</v>
      </c>
      <c r="G2354" s="464">
        <v>560.94200000000001</v>
      </c>
      <c r="H2354" s="256" t="s">
        <v>196</v>
      </c>
      <c r="I2354" s="469" t="s">
        <v>3413</v>
      </c>
      <c r="J2354" s="247" t="s">
        <v>97</v>
      </c>
      <c r="K2354" s="247" t="s">
        <v>1903</v>
      </c>
      <c r="L2354" s="247" t="s">
        <v>154</v>
      </c>
      <c r="M2354" s="76"/>
      <c r="N2354" s="76"/>
    </row>
    <row r="2355" spans="1:14" ht="15.6">
      <c r="A2355" s="476">
        <v>45911</v>
      </c>
      <c r="B2355" s="469" t="s">
        <v>3492</v>
      </c>
      <c r="C2355" s="469" t="s">
        <v>173</v>
      </c>
      <c r="D2355" s="469" t="s">
        <v>116</v>
      </c>
      <c r="E2355" s="469">
        <v>500</v>
      </c>
      <c r="F2355" s="463">
        <f t="shared" si="29"/>
        <v>0.93720185266062228</v>
      </c>
      <c r="G2355" s="464">
        <v>533.50300000000004</v>
      </c>
      <c r="H2355" s="469" t="s">
        <v>186</v>
      </c>
      <c r="I2355" s="469" t="s">
        <v>3504</v>
      </c>
      <c r="J2355" s="247" t="s">
        <v>97</v>
      </c>
      <c r="K2355" s="247" t="s">
        <v>1133</v>
      </c>
      <c r="L2355" s="247" t="s">
        <v>154</v>
      </c>
      <c r="M2355" s="76"/>
      <c r="N2355" s="76"/>
    </row>
    <row r="2356" spans="1:14" ht="15.6">
      <c r="A2356" s="476">
        <v>45911</v>
      </c>
      <c r="B2356" s="469" t="s">
        <v>2757</v>
      </c>
      <c r="C2356" s="469" t="s">
        <v>173</v>
      </c>
      <c r="D2356" s="469" t="s">
        <v>116</v>
      </c>
      <c r="E2356" s="469">
        <v>500</v>
      </c>
      <c r="F2356" s="463">
        <f t="shared" si="29"/>
        <v>0.93720185266062228</v>
      </c>
      <c r="G2356" s="464">
        <v>533.50300000000004</v>
      </c>
      <c r="H2356" s="469" t="s">
        <v>186</v>
      </c>
      <c r="I2356" s="469" t="s">
        <v>3504</v>
      </c>
      <c r="J2356" s="247" t="s">
        <v>97</v>
      </c>
      <c r="K2356" s="247" t="s">
        <v>1133</v>
      </c>
      <c r="L2356" s="247" t="s">
        <v>154</v>
      </c>
      <c r="M2356" s="76"/>
      <c r="N2356" s="76"/>
    </row>
    <row r="2357" spans="1:14" ht="15.6">
      <c r="A2357" s="471">
        <v>45911</v>
      </c>
      <c r="B2357" s="247" t="s">
        <v>2358</v>
      </c>
      <c r="C2357" s="469" t="s">
        <v>181</v>
      </c>
      <c r="D2357" s="469" t="s">
        <v>117</v>
      </c>
      <c r="E2357" s="468">
        <v>7200</v>
      </c>
      <c r="F2357" s="463">
        <f t="shared" si="29"/>
        <v>13.49570667831296</v>
      </c>
      <c r="G2357" s="464">
        <v>533.50300000000004</v>
      </c>
      <c r="H2357" s="469" t="s">
        <v>186</v>
      </c>
      <c r="I2357" s="247" t="s">
        <v>3509</v>
      </c>
      <c r="J2357" s="247" t="s">
        <v>97</v>
      </c>
      <c r="K2357" s="247" t="s">
        <v>1133</v>
      </c>
      <c r="L2357" s="247" t="s">
        <v>154</v>
      </c>
      <c r="M2357" s="76"/>
      <c r="N2357" s="76"/>
    </row>
    <row r="2358" spans="1:14" ht="15.6">
      <c r="A2358" s="476">
        <v>45912</v>
      </c>
      <c r="B2358" s="469" t="s">
        <v>2100</v>
      </c>
      <c r="C2358" s="462" t="s">
        <v>173</v>
      </c>
      <c r="D2358" s="462" t="s">
        <v>118</v>
      </c>
      <c r="E2358" s="359">
        <v>1000</v>
      </c>
      <c r="F2358" s="463">
        <f t="shared" si="29"/>
        <v>1.8744037053212446</v>
      </c>
      <c r="G2358" s="464">
        <v>533.50300000000004</v>
      </c>
      <c r="H2358" s="465" t="s">
        <v>152</v>
      </c>
      <c r="I2358" s="469" t="s">
        <v>2868</v>
      </c>
      <c r="J2358" s="247" t="s">
        <v>97</v>
      </c>
      <c r="K2358" s="247" t="s">
        <v>1133</v>
      </c>
      <c r="L2358" s="247" t="s">
        <v>154</v>
      </c>
      <c r="M2358" s="335"/>
      <c r="N2358" s="335"/>
    </row>
    <row r="2359" spans="1:14" ht="15.6">
      <c r="A2359" s="476">
        <v>45912</v>
      </c>
      <c r="B2359" s="469" t="s">
        <v>2856</v>
      </c>
      <c r="C2359" s="462" t="s">
        <v>173</v>
      </c>
      <c r="D2359" s="462" t="s">
        <v>118</v>
      </c>
      <c r="E2359" s="359">
        <v>1000</v>
      </c>
      <c r="F2359" s="463">
        <f t="shared" si="29"/>
        <v>1.8744037053212446</v>
      </c>
      <c r="G2359" s="464">
        <v>533.50300000000004</v>
      </c>
      <c r="H2359" s="465" t="s">
        <v>152</v>
      </c>
      <c r="I2359" s="469" t="s">
        <v>2868</v>
      </c>
      <c r="J2359" s="247" t="s">
        <v>97</v>
      </c>
      <c r="K2359" s="247" t="s">
        <v>1133</v>
      </c>
      <c r="L2359" s="247" t="s">
        <v>154</v>
      </c>
      <c r="M2359" s="335"/>
      <c r="N2359" s="335"/>
    </row>
    <row r="2360" spans="1:14" ht="15.6">
      <c r="A2360" s="476">
        <v>45912</v>
      </c>
      <c r="B2360" s="469" t="s">
        <v>2101</v>
      </c>
      <c r="C2360" s="462" t="s">
        <v>173</v>
      </c>
      <c r="D2360" s="462" t="s">
        <v>118</v>
      </c>
      <c r="E2360" s="359">
        <v>1000</v>
      </c>
      <c r="F2360" s="463">
        <f t="shared" si="29"/>
        <v>1.8744037053212446</v>
      </c>
      <c r="G2360" s="464">
        <v>533.50300000000004</v>
      </c>
      <c r="H2360" s="465" t="s">
        <v>152</v>
      </c>
      <c r="I2360" s="469" t="s">
        <v>2868</v>
      </c>
      <c r="J2360" s="247" t="s">
        <v>97</v>
      </c>
      <c r="K2360" s="247" t="s">
        <v>1133</v>
      </c>
      <c r="L2360" s="247" t="s">
        <v>154</v>
      </c>
      <c r="M2360" s="335"/>
      <c r="N2360" s="335"/>
    </row>
    <row r="2361" spans="1:14" ht="15.6">
      <c r="A2361" s="474">
        <v>45912</v>
      </c>
      <c r="B2361" s="216" t="s">
        <v>3635</v>
      </c>
      <c r="C2361" s="216" t="s">
        <v>2391</v>
      </c>
      <c r="D2361" s="337" t="s">
        <v>116</v>
      </c>
      <c r="E2361" s="475">
        <v>270000</v>
      </c>
      <c r="F2361" s="463">
        <f t="shared" si="29"/>
        <v>506.089000436736</v>
      </c>
      <c r="G2361" s="464">
        <v>533.50300000000004</v>
      </c>
      <c r="H2361" s="174" t="s">
        <v>199</v>
      </c>
      <c r="I2361" s="216" t="s">
        <v>2918</v>
      </c>
      <c r="J2361" s="247" t="s">
        <v>97</v>
      </c>
      <c r="K2361" s="247" t="s">
        <v>1133</v>
      </c>
      <c r="L2361" s="247" t="s">
        <v>154</v>
      </c>
      <c r="M2361" s="335"/>
      <c r="N2361" s="335"/>
    </row>
    <row r="2362" spans="1:14" ht="15.6">
      <c r="A2362" s="474">
        <v>45912</v>
      </c>
      <c r="B2362" s="216" t="s">
        <v>2889</v>
      </c>
      <c r="C2362" s="216" t="s">
        <v>173</v>
      </c>
      <c r="D2362" s="337" t="s">
        <v>116</v>
      </c>
      <c r="E2362" s="475">
        <v>500</v>
      </c>
      <c r="F2362" s="463">
        <f t="shared" si="29"/>
        <v>0.93720185266062228</v>
      </c>
      <c r="G2362" s="464">
        <v>533.50300000000004</v>
      </c>
      <c r="H2362" s="174" t="s">
        <v>199</v>
      </c>
      <c r="I2362" s="216" t="s">
        <v>2911</v>
      </c>
      <c r="J2362" s="247" t="s">
        <v>97</v>
      </c>
      <c r="K2362" s="247" t="s">
        <v>1133</v>
      </c>
      <c r="L2362" s="247" t="s">
        <v>154</v>
      </c>
      <c r="M2362" s="335"/>
      <c r="N2362" s="335"/>
    </row>
    <row r="2363" spans="1:14" ht="15.6">
      <c r="A2363" s="474">
        <v>45912</v>
      </c>
      <c r="B2363" s="216" t="s">
        <v>2890</v>
      </c>
      <c r="C2363" s="216" t="s">
        <v>173</v>
      </c>
      <c r="D2363" s="337" t="s">
        <v>116</v>
      </c>
      <c r="E2363" s="475">
        <v>37000</v>
      </c>
      <c r="F2363" s="463">
        <f t="shared" si="29"/>
        <v>69.352937096886052</v>
      </c>
      <c r="G2363" s="464">
        <v>533.50300000000004</v>
      </c>
      <c r="H2363" s="174" t="s">
        <v>199</v>
      </c>
      <c r="I2363" s="216" t="s">
        <v>2919</v>
      </c>
      <c r="J2363" s="247" t="s">
        <v>97</v>
      </c>
      <c r="K2363" s="247" t="s">
        <v>1133</v>
      </c>
      <c r="L2363" s="247" t="s">
        <v>154</v>
      </c>
      <c r="M2363" s="335"/>
      <c r="N2363" s="335"/>
    </row>
    <row r="2364" spans="1:14" ht="15.6">
      <c r="A2364" s="474">
        <v>45912</v>
      </c>
      <c r="B2364" s="475" t="s">
        <v>3840</v>
      </c>
      <c r="C2364" s="475" t="s">
        <v>173</v>
      </c>
      <c r="D2364" s="179" t="s">
        <v>442</v>
      </c>
      <c r="E2364" s="475">
        <v>1000</v>
      </c>
      <c r="F2364" s="463">
        <f t="shared" si="29"/>
        <v>1.8744037053212446</v>
      </c>
      <c r="G2364" s="464">
        <v>533.50300000000004</v>
      </c>
      <c r="H2364" s="475" t="s">
        <v>183</v>
      </c>
      <c r="I2364" s="475" t="s">
        <v>3086</v>
      </c>
      <c r="J2364" s="247" t="s">
        <v>97</v>
      </c>
      <c r="K2364" s="247" t="s">
        <v>1133</v>
      </c>
      <c r="L2364" s="247" t="s">
        <v>154</v>
      </c>
      <c r="M2364" s="414"/>
      <c r="N2364" s="414"/>
    </row>
    <row r="2365" spans="1:14" ht="15.6">
      <c r="A2365" s="474">
        <v>45912</v>
      </c>
      <c r="B2365" s="475" t="s">
        <v>3842</v>
      </c>
      <c r="C2365" s="475" t="s">
        <v>173</v>
      </c>
      <c r="D2365" s="179" t="s">
        <v>442</v>
      </c>
      <c r="E2365" s="475">
        <v>1500</v>
      </c>
      <c r="F2365" s="463">
        <f t="shared" si="29"/>
        <v>2.8116055579818666</v>
      </c>
      <c r="G2365" s="464">
        <v>533.50300000000004</v>
      </c>
      <c r="H2365" s="475" t="s">
        <v>183</v>
      </c>
      <c r="I2365" s="475" t="s">
        <v>3086</v>
      </c>
      <c r="J2365" s="247" t="s">
        <v>97</v>
      </c>
      <c r="K2365" s="247" t="s">
        <v>1133</v>
      </c>
      <c r="L2365" s="247" t="s">
        <v>154</v>
      </c>
      <c r="M2365" s="414"/>
      <c r="N2365" s="414"/>
    </row>
    <row r="2366" spans="1:14" ht="15.6">
      <c r="A2366" s="474">
        <v>45912</v>
      </c>
      <c r="B2366" s="475" t="s">
        <v>3840</v>
      </c>
      <c r="C2366" s="475" t="s">
        <v>173</v>
      </c>
      <c r="D2366" s="179" t="s">
        <v>442</v>
      </c>
      <c r="E2366" s="475">
        <v>1000</v>
      </c>
      <c r="F2366" s="463">
        <f t="shared" si="29"/>
        <v>1.8744037053212446</v>
      </c>
      <c r="G2366" s="464">
        <v>533.50300000000004</v>
      </c>
      <c r="H2366" s="475" t="s">
        <v>183</v>
      </c>
      <c r="I2366" s="475" t="s">
        <v>3086</v>
      </c>
      <c r="J2366" s="247" t="s">
        <v>97</v>
      </c>
      <c r="K2366" s="247" t="s">
        <v>1133</v>
      </c>
      <c r="L2366" s="247" t="s">
        <v>154</v>
      </c>
      <c r="M2366" s="414"/>
      <c r="N2366" s="414"/>
    </row>
    <row r="2367" spans="1:14" ht="15.6">
      <c r="A2367" s="474">
        <v>45912</v>
      </c>
      <c r="B2367" s="475" t="s">
        <v>3840</v>
      </c>
      <c r="C2367" s="475" t="s">
        <v>173</v>
      </c>
      <c r="D2367" s="179" t="s">
        <v>442</v>
      </c>
      <c r="E2367" s="475">
        <v>1000</v>
      </c>
      <c r="F2367" s="463">
        <f t="shared" si="29"/>
        <v>1.8744037053212446</v>
      </c>
      <c r="G2367" s="464">
        <v>533.50300000000004</v>
      </c>
      <c r="H2367" s="475" t="s">
        <v>183</v>
      </c>
      <c r="I2367" s="475" t="s">
        <v>3086</v>
      </c>
      <c r="J2367" s="247" t="s">
        <v>97</v>
      </c>
      <c r="K2367" s="247" t="s">
        <v>1133</v>
      </c>
      <c r="L2367" s="247" t="s">
        <v>154</v>
      </c>
      <c r="M2367" s="414"/>
      <c r="N2367" s="414"/>
    </row>
    <row r="2368" spans="1:14" ht="15.6">
      <c r="A2368" s="474">
        <v>45912</v>
      </c>
      <c r="B2368" s="475" t="s">
        <v>3840</v>
      </c>
      <c r="C2368" s="475" t="s">
        <v>173</v>
      </c>
      <c r="D2368" s="179" t="s">
        <v>442</v>
      </c>
      <c r="E2368" s="475">
        <v>1000</v>
      </c>
      <c r="F2368" s="463">
        <f t="shared" si="29"/>
        <v>1.8744037053212446</v>
      </c>
      <c r="G2368" s="464">
        <v>533.50300000000004</v>
      </c>
      <c r="H2368" s="475" t="s">
        <v>183</v>
      </c>
      <c r="I2368" s="475" t="s">
        <v>3086</v>
      </c>
      <c r="J2368" s="247" t="s">
        <v>97</v>
      </c>
      <c r="K2368" s="247" t="s">
        <v>1133</v>
      </c>
      <c r="L2368" s="247" t="s">
        <v>154</v>
      </c>
      <c r="M2368" s="414"/>
      <c r="N2368" s="414"/>
    </row>
    <row r="2369" spans="1:14" ht="15.6">
      <c r="A2369" s="474">
        <v>45912</v>
      </c>
      <c r="B2369" s="475" t="s">
        <v>3843</v>
      </c>
      <c r="C2369" s="475" t="s">
        <v>173</v>
      </c>
      <c r="D2369" s="179" t="s">
        <v>442</v>
      </c>
      <c r="E2369" s="475">
        <v>1000</v>
      </c>
      <c r="F2369" s="463">
        <f t="shared" si="29"/>
        <v>1.8744037053212446</v>
      </c>
      <c r="G2369" s="464">
        <v>533.50300000000004</v>
      </c>
      <c r="H2369" s="475" t="s">
        <v>183</v>
      </c>
      <c r="I2369" s="475" t="s">
        <v>3086</v>
      </c>
      <c r="J2369" s="247" t="s">
        <v>97</v>
      </c>
      <c r="K2369" s="247" t="s">
        <v>1133</v>
      </c>
      <c r="L2369" s="247" t="s">
        <v>154</v>
      </c>
      <c r="M2369" s="414"/>
      <c r="N2369" s="414"/>
    </row>
    <row r="2370" spans="1:14" ht="15.6">
      <c r="A2370" s="476">
        <v>45912</v>
      </c>
      <c r="B2370" s="469" t="s">
        <v>3940</v>
      </c>
      <c r="C2370" s="469" t="s">
        <v>173</v>
      </c>
      <c r="D2370" s="179" t="s">
        <v>442</v>
      </c>
      <c r="E2370" s="469">
        <v>1000</v>
      </c>
      <c r="F2370" s="463">
        <f t="shared" si="29"/>
        <v>1.8744037053212446</v>
      </c>
      <c r="G2370" s="464">
        <v>533.50300000000004</v>
      </c>
      <c r="H2370" s="469" t="s">
        <v>174</v>
      </c>
      <c r="I2370" s="469" t="s">
        <v>3196</v>
      </c>
      <c r="J2370" s="247" t="s">
        <v>97</v>
      </c>
      <c r="K2370" s="247" t="s">
        <v>1133</v>
      </c>
      <c r="L2370" s="247" t="s">
        <v>154</v>
      </c>
      <c r="M2370" s="414"/>
      <c r="N2370" s="414"/>
    </row>
    <row r="2371" spans="1:14" ht="15.6">
      <c r="A2371" s="476">
        <v>45912</v>
      </c>
      <c r="B2371" s="469" t="s">
        <v>3941</v>
      </c>
      <c r="C2371" s="469" t="s">
        <v>173</v>
      </c>
      <c r="D2371" s="179" t="s">
        <v>442</v>
      </c>
      <c r="E2371" s="469">
        <v>1000</v>
      </c>
      <c r="F2371" s="463">
        <f t="shared" si="29"/>
        <v>1.8744037053212446</v>
      </c>
      <c r="G2371" s="464">
        <v>533.50300000000004</v>
      </c>
      <c r="H2371" s="469" t="s">
        <v>174</v>
      </c>
      <c r="I2371" s="469" t="s">
        <v>3196</v>
      </c>
      <c r="J2371" s="247" t="s">
        <v>97</v>
      </c>
      <c r="K2371" s="247" t="s">
        <v>1133</v>
      </c>
      <c r="L2371" s="247" t="s">
        <v>154</v>
      </c>
      <c r="M2371" s="414"/>
      <c r="N2371" s="414"/>
    </row>
    <row r="2372" spans="1:14" ht="15.6">
      <c r="A2372" s="476">
        <v>45912</v>
      </c>
      <c r="B2372" s="469" t="s">
        <v>3942</v>
      </c>
      <c r="C2372" s="469" t="s">
        <v>173</v>
      </c>
      <c r="D2372" s="179" t="s">
        <v>442</v>
      </c>
      <c r="E2372" s="469">
        <v>1000</v>
      </c>
      <c r="F2372" s="463">
        <f t="shared" si="29"/>
        <v>1.8744037053212446</v>
      </c>
      <c r="G2372" s="464">
        <v>533.50300000000004</v>
      </c>
      <c r="H2372" s="469" t="s">
        <v>174</v>
      </c>
      <c r="I2372" s="469" t="s">
        <v>3196</v>
      </c>
      <c r="J2372" s="247" t="s">
        <v>97</v>
      </c>
      <c r="K2372" s="247" t="s">
        <v>1133</v>
      </c>
      <c r="L2372" s="247" t="s">
        <v>154</v>
      </c>
      <c r="M2372" s="414"/>
      <c r="N2372" s="414"/>
    </row>
    <row r="2373" spans="1:14" ht="15.6">
      <c r="A2373" s="476">
        <v>45912</v>
      </c>
      <c r="B2373" s="469" t="s">
        <v>3930</v>
      </c>
      <c r="C2373" s="469" t="s">
        <v>173</v>
      </c>
      <c r="D2373" s="179" t="s">
        <v>442</v>
      </c>
      <c r="E2373" s="469">
        <v>1000</v>
      </c>
      <c r="F2373" s="463">
        <f t="shared" si="29"/>
        <v>1.8744037053212446</v>
      </c>
      <c r="G2373" s="464">
        <v>533.50300000000004</v>
      </c>
      <c r="H2373" s="469" t="s">
        <v>174</v>
      </c>
      <c r="I2373" s="469" t="s">
        <v>3196</v>
      </c>
      <c r="J2373" s="247" t="s">
        <v>97</v>
      </c>
      <c r="K2373" s="247" t="s">
        <v>1133</v>
      </c>
      <c r="L2373" s="247" t="s">
        <v>154</v>
      </c>
      <c r="M2373" s="414"/>
      <c r="N2373" s="414"/>
    </row>
    <row r="2374" spans="1:14" ht="15.6">
      <c r="A2374" s="471">
        <v>45912</v>
      </c>
      <c r="B2374" s="469" t="s">
        <v>3350</v>
      </c>
      <c r="C2374" s="247" t="s">
        <v>173</v>
      </c>
      <c r="D2374" s="247" t="s">
        <v>116</v>
      </c>
      <c r="E2374" s="468">
        <v>1000</v>
      </c>
      <c r="F2374" s="463">
        <f t="shared" si="29"/>
        <v>1.8744037053212446</v>
      </c>
      <c r="G2374" s="464">
        <v>533.50300000000004</v>
      </c>
      <c r="H2374" s="247" t="s">
        <v>192</v>
      </c>
      <c r="I2374" s="469" t="s">
        <v>3360</v>
      </c>
      <c r="J2374" s="247" t="s">
        <v>97</v>
      </c>
      <c r="K2374" s="247" t="s">
        <v>1133</v>
      </c>
      <c r="L2374" s="247" t="s">
        <v>154</v>
      </c>
      <c r="M2374" s="76"/>
      <c r="N2374" s="76"/>
    </row>
    <row r="2375" spans="1:14" ht="15.6">
      <c r="A2375" s="471">
        <v>45912</v>
      </c>
      <c r="B2375" s="469" t="s">
        <v>3351</v>
      </c>
      <c r="C2375" s="247" t="s">
        <v>173</v>
      </c>
      <c r="D2375" s="247" t="s">
        <v>116</v>
      </c>
      <c r="E2375" s="468">
        <v>1000</v>
      </c>
      <c r="F2375" s="463">
        <f t="shared" si="29"/>
        <v>1.8744037053212446</v>
      </c>
      <c r="G2375" s="464">
        <v>533.50300000000004</v>
      </c>
      <c r="H2375" s="247" t="s">
        <v>192</v>
      </c>
      <c r="I2375" s="469" t="s">
        <v>3360</v>
      </c>
      <c r="J2375" s="247" t="s">
        <v>97</v>
      </c>
      <c r="K2375" s="247" t="s">
        <v>1133</v>
      </c>
      <c r="L2375" s="247" t="s">
        <v>154</v>
      </c>
      <c r="M2375" s="76"/>
      <c r="N2375" s="76"/>
    </row>
    <row r="2376" spans="1:14" ht="15.6">
      <c r="A2376" s="471">
        <v>45912</v>
      </c>
      <c r="B2376" s="469" t="s">
        <v>3352</v>
      </c>
      <c r="C2376" s="469" t="s">
        <v>125</v>
      </c>
      <c r="D2376" s="469" t="s">
        <v>117</v>
      </c>
      <c r="E2376" s="468">
        <v>55270</v>
      </c>
      <c r="F2376" s="463">
        <f t="shared" si="29"/>
        <v>103.59829279310519</v>
      </c>
      <c r="G2376" s="464">
        <v>533.50300000000004</v>
      </c>
      <c r="H2376" s="469" t="s">
        <v>192</v>
      </c>
      <c r="I2376" s="247" t="s">
        <v>3369</v>
      </c>
      <c r="J2376" s="247" t="s">
        <v>97</v>
      </c>
      <c r="K2376" s="247" t="s">
        <v>1133</v>
      </c>
      <c r="L2376" s="247" t="s">
        <v>154</v>
      </c>
      <c r="M2376" s="76"/>
      <c r="N2376" s="76"/>
    </row>
    <row r="2377" spans="1:14" ht="15.6">
      <c r="A2377" s="461">
        <v>45912</v>
      </c>
      <c r="B2377" s="247" t="s">
        <v>3393</v>
      </c>
      <c r="C2377" s="247" t="s">
        <v>176</v>
      </c>
      <c r="D2377" s="247" t="s">
        <v>116</v>
      </c>
      <c r="E2377" s="478">
        <v>405000</v>
      </c>
      <c r="F2377" s="463">
        <f t="shared" si="29"/>
        <v>759.13350065510406</v>
      </c>
      <c r="G2377" s="464">
        <v>533.50300000000004</v>
      </c>
      <c r="H2377" s="256" t="s">
        <v>196</v>
      </c>
      <c r="I2377" s="469" t="s">
        <v>3419</v>
      </c>
      <c r="J2377" s="247" t="s">
        <v>97</v>
      </c>
      <c r="K2377" s="247" t="s">
        <v>1133</v>
      </c>
      <c r="L2377" s="247" t="s">
        <v>154</v>
      </c>
      <c r="M2377" s="76"/>
      <c r="N2377" s="76"/>
    </row>
    <row r="2378" spans="1:14" ht="15.6">
      <c r="A2378" s="461">
        <v>45912</v>
      </c>
      <c r="B2378" s="469" t="s">
        <v>3394</v>
      </c>
      <c r="C2378" s="359" t="s">
        <v>195</v>
      </c>
      <c r="D2378" s="359" t="s">
        <v>116</v>
      </c>
      <c r="E2378" s="472">
        <v>500</v>
      </c>
      <c r="F2378" s="463">
        <f t="shared" si="29"/>
        <v>0.93720185266062228</v>
      </c>
      <c r="G2378" s="464">
        <v>533.50300000000004</v>
      </c>
      <c r="H2378" s="256" t="s">
        <v>196</v>
      </c>
      <c r="I2378" s="469" t="s">
        <v>3411</v>
      </c>
      <c r="J2378" s="247" t="s">
        <v>97</v>
      </c>
      <c r="K2378" s="247" t="s">
        <v>1133</v>
      </c>
      <c r="L2378" s="247" t="s">
        <v>154</v>
      </c>
      <c r="M2378" s="76"/>
      <c r="N2378" s="76"/>
    </row>
    <row r="2379" spans="1:14" ht="15.6">
      <c r="A2379" s="461">
        <v>45912</v>
      </c>
      <c r="B2379" s="469" t="s">
        <v>3395</v>
      </c>
      <c r="C2379" s="359" t="s">
        <v>195</v>
      </c>
      <c r="D2379" s="359" t="s">
        <v>116</v>
      </c>
      <c r="E2379" s="472">
        <v>500</v>
      </c>
      <c r="F2379" s="463">
        <f t="shared" si="29"/>
        <v>0.93720185266062228</v>
      </c>
      <c r="G2379" s="464">
        <v>533.50300000000004</v>
      </c>
      <c r="H2379" s="256" t="s">
        <v>196</v>
      </c>
      <c r="I2379" s="469" t="s">
        <v>3411</v>
      </c>
      <c r="J2379" s="247" t="s">
        <v>97</v>
      </c>
      <c r="K2379" s="247" t="s">
        <v>1133</v>
      </c>
      <c r="L2379" s="247" t="s">
        <v>154</v>
      </c>
      <c r="M2379" s="76"/>
      <c r="N2379" s="76"/>
    </row>
    <row r="2380" spans="1:14" ht="15.6">
      <c r="A2380" s="474">
        <v>45913</v>
      </c>
      <c r="B2380" s="216" t="s">
        <v>3636</v>
      </c>
      <c r="C2380" s="216" t="s">
        <v>2391</v>
      </c>
      <c r="D2380" s="337" t="s">
        <v>116</v>
      </c>
      <c r="E2380" s="475">
        <v>15000</v>
      </c>
      <c r="F2380" s="463">
        <f t="shared" si="29"/>
        <v>28.116055579818667</v>
      </c>
      <c r="G2380" s="464">
        <v>533.50300000000004</v>
      </c>
      <c r="H2380" s="174" t="s">
        <v>199</v>
      </c>
      <c r="I2380" s="216" t="s">
        <v>2920</v>
      </c>
      <c r="J2380" s="247" t="s">
        <v>97</v>
      </c>
      <c r="K2380" s="247" t="s">
        <v>1133</v>
      </c>
      <c r="L2380" s="247" t="s">
        <v>154</v>
      </c>
      <c r="M2380" s="335"/>
      <c r="N2380" s="335"/>
    </row>
    <row r="2381" spans="1:14" ht="15.6">
      <c r="A2381" s="474">
        <v>45913</v>
      </c>
      <c r="B2381" s="475" t="s">
        <v>3844</v>
      </c>
      <c r="C2381" s="475" t="s">
        <v>173</v>
      </c>
      <c r="D2381" s="179" t="s">
        <v>442</v>
      </c>
      <c r="E2381" s="475">
        <v>1000</v>
      </c>
      <c r="F2381" s="463">
        <f t="shared" si="29"/>
        <v>1.8744037053212446</v>
      </c>
      <c r="G2381" s="464">
        <v>533.50300000000004</v>
      </c>
      <c r="H2381" s="475" t="s">
        <v>183</v>
      </c>
      <c r="I2381" s="475" t="s">
        <v>3086</v>
      </c>
      <c r="J2381" s="247" t="s">
        <v>97</v>
      </c>
      <c r="K2381" s="247" t="s">
        <v>1133</v>
      </c>
      <c r="L2381" s="247" t="s">
        <v>154</v>
      </c>
      <c r="M2381" s="414"/>
      <c r="N2381" s="414"/>
    </row>
    <row r="2382" spans="1:14" ht="15.6">
      <c r="A2382" s="474">
        <v>45913</v>
      </c>
      <c r="B2382" s="475" t="s">
        <v>3782</v>
      </c>
      <c r="C2382" s="475" t="s">
        <v>173</v>
      </c>
      <c r="D2382" s="179" t="s">
        <v>442</v>
      </c>
      <c r="E2382" s="475">
        <v>1000</v>
      </c>
      <c r="F2382" s="463">
        <f t="shared" si="29"/>
        <v>1.8744037053212446</v>
      </c>
      <c r="G2382" s="464">
        <v>533.50300000000004</v>
      </c>
      <c r="H2382" s="475" t="s">
        <v>183</v>
      </c>
      <c r="I2382" s="475" t="s">
        <v>3086</v>
      </c>
      <c r="J2382" s="247" t="s">
        <v>97</v>
      </c>
      <c r="K2382" s="247" t="s">
        <v>1133</v>
      </c>
      <c r="L2382" s="247" t="s">
        <v>154</v>
      </c>
      <c r="M2382" s="414"/>
      <c r="N2382" s="414"/>
    </row>
    <row r="2383" spans="1:14" ht="15.6">
      <c r="A2383" s="474">
        <v>45913</v>
      </c>
      <c r="B2383" s="475" t="s">
        <v>3844</v>
      </c>
      <c r="C2383" s="475" t="s">
        <v>173</v>
      </c>
      <c r="D2383" s="179" t="s">
        <v>442</v>
      </c>
      <c r="E2383" s="475">
        <v>1000</v>
      </c>
      <c r="F2383" s="463">
        <f t="shared" si="29"/>
        <v>1.8744037053212446</v>
      </c>
      <c r="G2383" s="464">
        <v>533.50300000000004</v>
      </c>
      <c r="H2383" s="475" t="s">
        <v>183</v>
      </c>
      <c r="I2383" s="475" t="s">
        <v>3086</v>
      </c>
      <c r="J2383" s="247" t="s">
        <v>97</v>
      </c>
      <c r="K2383" s="247" t="s">
        <v>1133</v>
      </c>
      <c r="L2383" s="247" t="s">
        <v>154</v>
      </c>
      <c r="M2383" s="414"/>
      <c r="N2383" s="414"/>
    </row>
    <row r="2384" spans="1:14" ht="15.6">
      <c r="A2384" s="474">
        <v>45913</v>
      </c>
      <c r="B2384" s="475" t="s">
        <v>3828</v>
      </c>
      <c r="C2384" s="475" t="s">
        <v>173</v>
      </c>
      <c r="D2384" s="179" t="s">
        <v>442</v>
      </c>
      <c r="E2384" s="475">
        <v>1000</v>
      </c>
      <c r="F2384" s="463">
        <f t="shared" si="29"/>
        <v>1.8744037053212446</v>
      </c>
      <c r="G2384" s="464">
        <v>533.50300000000004</v>
      </c>
      <c r="H2384" s="475" t="s">
        <v>183</v>
      </c>
      <c r="I2384" s="475" t="s">
        <v>3086</v>
      </c>
      <c r="J2384" s="247" t="s">
        <v>97</v>
      </c>
      <c r="K2384" s="247" t="s">
        <v>1133</v>
      </c>
      <c r="L2384" s="247" t="s">
        <v>154</v>
      </c>
      <c r="M2384" s="414"/>
      <c r="N2384" s="414"/>
    </row>
    <row r="2385" spans="1:14" ht="15.6">
      <c r="A2385" s="476">
        <v>45913</v>
      </c>
      <c r="B2385" s="469" t="s">
        <v>3943</v>
      </c>
      <c r="C2385" s="469" t="s">
        <v>173</v>
      </c>
      <c r="D2385" s="179" t="s">
        <v>442</v>
      </c>
      <c r="E2385" s="469">
        <v>1000</v>
      </c>
      <c r="F2385" s="463">
        <f t="shared" si="29"/>
        <v>1.8744037053212446</v>
      </c>
      <c r="G2385" s="464">
        <v>533.50300000000004</v>
      </c>
      <c r="H2385" s="469" t="s">
        <v>174</v>
      </c>
      <c r="I2385" s="469" t="s">
        <v>3196</v>
      </c>
      <c r="J2385" s="247" t="s">
        <v>97</v>
      </c>
      <c r="K2385" s="247" t="s">
        <v>1133</v>
      </c>
      <c r="L2385" s="247" t="s">
        <v>154</v>
      </c>
      <c r="M2385" s="414"/>
      <c r="N2385" s="414"/>
    </row>
    <row r="2386" spans="1:14" ht="15.6">
      <c r="A2386" s="476">
        <v>45913</v>
      </c>
      <c r="B2386" s="469" t="s">
        <v>3943</v>
      </c>
      <c r="C2386" s="469" t="s">
        <v>173</v>
      </c>
      <c r="D2386" s="179" t="s">
        <v>442</v>
      </c>
      <c r="E2386" s="469">
        <v>1000</v>
      </c>
      <c r="F2386" s="463">
        <f t="shared" si="29"/>
        <v>1.8744037053212446</v>
      </c>
      <c r="G2386" s="464">
        <v>533.50300000000004</v>
      </c>
      <c r="H2386" s="469" t="s">
        <v>174</v>
      </c>
      <c r="I2386" s="469" t="s">
        <v>3196</v>
      </c>
      <c r="J2386" s="247" t="s">
        <v>97</v>
      </c>
      <c r="K2386" s="247" t="s">
        <v>1133</v>
      </c>
      <c r="L2386" s="247" t="s">
        <v>154</v>
      </c>
      <c r="M2386" s="414"/>
      <c r="N2386" s="414"/>
    </row>
    <row r="2387" spans="1:14" ht="15.6">
      <c r="A2387" s="461">
        <v>45913</v>
      </c>
      <c r="B2387" s="247" t="s">
        <v>3396</v>
      </c>
      <c r="C2387" s="247" t="s">
        <v>176</v>
      </c>
      <c r="D2387" s="247" t="s">
        <v>116</v>
      </c>
      <c r="E2387" s="478">
        <v>15000</v>
      </c>
      <c r="F2387" s="463">
        <f t="shared" si="29"/>
        <v>28.116055579818667</v>
      </c>
      <c r="G2387" s="464">
        <v>533.50300000000004</v>
      </c>
      <c r="H2387" s="256" t="s">
        <v>196</v>
      </c>
      <c r="I2387" s="469" t="s">
        <v>3420</v>
      </c>
      <c r="J2387" s="247" t="s">
        <v>97</v>
      </c>
      <c r="K2387" s="247" t="s">
        <v>1133</v>
      </c>
      <c r="L2387" s="247" t="s">
        <v>154</v>
      </c>
      <c r="M2387" s="76"/>
      <c r="N2387" s="76"/>
    </row>
    <row r="2388" spans="1:14" ht="15.6">
      <c r="A2388" s="461">
        <v>45913</v>
      </c>
      <c r="B2388" s="469" t="s">
        <v>3397</v>
      </c>
      <c r="C2388" s="359" t="s">
        <v>195</v>
      </c>
      <c r="D2388" s="359" t="s">
        <v>116</v>
      </c>
      <c r="E2388" s="472">
        <v>500</v>
      </c>
      <c r="F2388" s="463">
        <f t="shared" si="29"/>
        <v>0.93720185266062228</v>
      </c>
      <c r="G2388" s="464">
        <v>533.50300000000004</v>
      </c>
      <c r="H2388" s="256" t="s">
        <v>196</v>
      </c>
      <c r="I2388" s="469" t="s">
        <v>3411</v>
      </c>
      <c r="J2388" s="247" t="s">
        <v>97</v>
      </c>
      <c r="K2388" s="247" t="s">
        <v>1133</v>
      </c>
      <c r="L2388" s="247" t="s">
        <v>154</v>
      </c>
      <c r="M2388" s="76"/>
      <c r="N2388" s="76"/>
    </row>
    <row r="2389" spans="1:14" ht="15.6">
      <c r="A2389" s="461">
        <v>45913</v>
      </c>
      <c r="B2389" s="469" t="s">
        <v>3398</v>
      </c>
      <c r="C2389" s="359" t="s">
        <v>195</v>
      </c>
      <c r="D2389" s="359" t="s">
        <v>116</v>
      </c>
      <c r="E2389" s="472">
        <v>500</v>
      </c>
      <c r="F2389" s="463">
        <f t="shared" si="29"/>
        <v>0.93720185266062228</v>
      </c>
      <c r="G2389" s="464">
        <v>533.50300000000004</v>
      </c>
      <c r="H2389" s="256" t="s">
        <v>196</v>
      </c>
      <c r="I2389" s="469" t="s">
        <v>3411</v>
      </c>
      <c r="J2389" s="247" t="s">
        <v>97</v>
      </c>
      <c r="K2389" s="247" t="s">
        <v>1133</v>
      </c>
      <c r="L2389" s="247" t="s">
        <v>154</v>
      </c>
      <c r="M2389" s="76"/>
      <c r="N2389" s="76"/>
    </row>
    <row r="2390" spans="1:14" ht="15.6">
      <c r="A2390" s="474">
        <v>45914</v>
      </c>
      <c r="B2390" s="216" t="s">
        <v>3637</v>
      </c>
      <c r="C2390" s="216" t="s">
        <v>2391</v>
      </c>
      <c r="D2390" s="337" t="s">
        <v>116</v>
      </c>
      <c r="E2390" s="475">
        <v>15000</v>
      </c>
      <c r="F2390" s="463">
        <f t="shared" si="29"/>
        <v>28.116055579818667</v>
      </c>
      <c r="G2390" s="464">
        <v>533.50300000000004</v>
      </c>
      <c r="H2390" s="174" t="s">
        <v>199</v>
      </c>
      <c r="I2390" s="216" t="s">
        <v>2921</v>
      </c>
      <c r="J2390" s="247" t="s">
        <v>97</v>
      </c>
      <c r="K2390" s="247" t="s">
        <v>1133</v>
      </c>
      <c r="L2390" s="247" t="s">
        <v>154</v>
      </c>
      <c r="M2390" s="335"/>
      <c r="N2390" s="335"/>
    </row>
    <row r="2391" spans="1:14" ht="15.6">
      <c r="A2391" s="474">
        <v>45914</v>
      </c>
      <c r="B2391" s="216" t="s">
        <v>2891</v>
      </c>
      <c r="C2391" s="216" t="s">
        <v>173</v>
      </c>
      <c r="D2391" s="337" t="s">
        <v>116</v>
      </c>
      <c r="E2391" s="475">
        <v>3500</v>
      </c>
      <c r="F2391" s="463">
        <f t="shared" si="29"/>
        <v>6.5604129686243562</v>
      </c>
      <c r="G2391" s="464">
        <v>533.50300000000004</v>
      </c>
      <c r="H2391" s="174" t="s">
        <v>199</v>
      </c>
      <c r="I2391" s="216" t="s">
        <v>2911</v>
      </c>
      <c r="J2391" s="247" t="s">
        <v>97</v>
      </c>
      <c r="K2391" s="247" t="s">
        <v>1133</v>
      </c>
      <c r="L2391" s="247" t="s">
        <v>154</v>
      </c>
      <c r="M2391" s="335"/>
      <c r="N2391" s="335"/>
    </row>
    <row r="2392" spans="1:14" ht="15.6">
      <c r="A2392" s="474">
        <v>45914</v>
      </c>
      <c r="B2392" s="475" t="s">
        <v>3845</v>
      </c>
      <c r="C2392" s="475" t="s">
        <v>173</v>
      </c>
      <c r="D2392" s="179" t="s">
        <v>442</v>
      </c>
      <c r="E2392" s="475">
        <v>1000</v>
      </c>
      <c r="F2392" s="463">
        <f t="shared" si="29"/>
        <v>1.8744037053212446</v>
      </c>
      <c r="G2392" s="464">
        <v>533.50300000000004</v>
      </c>
      <c r="H2392" s="475" t="s">
        <v>183</v>
      </c>
      <c r="I2392" s="475" t="s">
        <v>3086</v>
      </c>
      <c r="J2392" s="247" t="s">
        <v>97</v>
      </c>
      <c r="K2392" s="247" t="s">
        <v>1133</v>
      </c>
      <c r="L2392" s="247" t="s">
        <v>154</v>
      </c>
      <c r="M2392" s="414"/>
      <c r="N2392" s="414"/>
    </row>
    <row r="2393" spans="1:14" ht="15.6">
      <c r="A2393" s="474">
        <v>45914</v>
      </c>
      <c r="B2393" s="475" t="s">
        <v>3819</v>
      </c>
      <c r="C2393" s="475" t="s">
        <v>173</v>
      </c>
      <c r="D2393" s="179" t="s">
        <v>442</v>
      </c>
      <c r="E2393" s="475">
        <v>1000</v>
      </c>
      <c r="F2393" s="463">
        <f t="shared" si="29"/>
        <v>1.8744037053212446</v>
      </c>
      <c r="G2393" s="464">
        <v>533.50300000000004</v>
      </c>
      <c r="H2393" s="475" t="s">
        <v>183</v>
      </c>
      <c r="I2393" s="475" t="s">
        <v>3086</v>
      </c>
      <c r="J2393" s="247" t="s">
        <v>97</v>
      </c>
      <c r="K2393" s="247" t="s">
        <v>1133</v>
      </c>
      <c r="L2393" s="247" t="s">
        <v>154</v>
      </c>
      <c r="M2393" s="414"/>
      <c r="N2393" s="414"/>
    </row>
    <row r="2394" spans="1:14" ht="15.6">
      <c r="A2394" s="474">
        <v>45914</v>
      </c>
      <c r="B2394" s="475" t="s">
        <v>3844</v>
      </c>
      <c r="C2394" s="475" t="s">
        <v>173</v>
      </c>
      <c r="D2394" s="179" t="s">
        <v>442</v>
      </c>
      <c r="E2394" s="475">
        <v>1000</v>
      </c>
      <c r="F2394" s="463">
        <f t="shared" si="29"/>
        <v>1.8744037053212446</v>
      </c>
      <c r="G2394" s="464">
        <v>533.50300000000004</v>
      </c>
      <c r="H2394" s="475" t="s">
        <v>183</v>
      </c>
      <c r="I2394" s="475" t="s">
        <v>3086</v>
      </c>
      <c r="J2394" s="247" t="s">
        <v>97</v>
      </c>
      <c r="K2394" s="247" t="s">
        <v>1133</v>
      </c>
      <c r="L2394" s="247" t="s">
        <v>154</v>
      </c>
      <c r="M2394" s="414"/>
      <c r="N2394" s="414"/>
    </row>
    <row r="2395" spans="1:14" ht="15.6">
      <c r="A2395" s="474">
        <v>45914</v>
      </c>
      <c r="B2395" s="475" t="s">
        <v>3846</v>
      </c>
      <c r="C2395" s="475" t="s">
        <v>173</v>
      </c>
      <c r="D2395" s="179" t="s">
        <v>442</v>
      </c>
      <c r="E2395" s="475">
        <v>1000</v>
      </c>
      <c r="F2395" s="463">
        <f t="shared" si="29"/>
        <v>1.8744037053212446</v>
      </c>
      <c r="G2395" s="464">
        <v>533.50300000000004</v>
      </c>
      <c r="H2395" s="475" t="s">
        <v>183</v>
      </c>
      <c r="I2395" s="475" t="s">
        <v>3086</v>
      </c>
      <c r="J2395" s="247" t="s">
        <v>97</v>
      </c>
      <c r="K2395" s="247" t="s">
        <v>1133</v>
      </c>
      <c r="L2395" s="247" t="s">
        <v>154</v>
      </c>
      <c r="M2395" s="414"/>
      <c r="N2395" s="414"/>
    </row>
    <row r="2396" spans="1:14" ht="15.6">
      <c r="A2396" s="476">
        <v>45914</v>
      </c>
      <c r="B2396" s="469" t="s">
        <v>3945</v>
      </c>
      <c r="C2396" s="469" t="s">
        <v>173</v>
      </c>
      <c r="D2396" s="179" t="s">
        <v>442</v>
      </c>
      <c r="E2396" s="469">
        <v>1000</v>
      </c>
      <c r="F2396" s="463">
        <f t="shared" si="29"/>
        <v>1.8744037053212446</v>
      </c>
      <c r="G2396" s="464">
        <v>533.50300000000004</v>
      </c>
      <c r="H2396" s="469" t="s">
        <v>174</v>
      </c>
      <c r="I2396" s="469" t="s">
        <v>3196</v>
      </c>
      <c r="J2396" s="247" t="s">
        <v>97</v>
      </c>
      <c r="K2396" s="247" t="s">
        <v>1133</v>
      </c>
      <c r="L2396" s="247" t="s">
        <v>154</v>
      </c>
      <c r="M2396" s="414"/>
      <c r="N2396" s="414"/>
    </row>
    <row r="2397" spans="1:14" ht="15.6">
      <c r="A2397" s="476">
        <v>45914</v>
      </c>
      <c r="B2397" s="469" t="s">
        <v>3945</v>
      </c>
      <c r="C2397" s="469" t="s">
        <v>173</v>
      </c>
      <c r="D2397" s="179" t="s">
        <v>442</v>
      </c>
      <c r="E2397" s="469">
        <v>1000</v>
      </c>
      <c r="F2397" s="463">
        <f t="shared" si="29"/>
        <v>1.8744037053212446</v>
      </c>
      <c r="G2397" s="464">
        <v>533.50300000000004</v>
      </c>
      <c r="H2397" s="469" t="s">
        <v>174</v>
      </c>
      <c r="I2397" s="469" t="s">
        <v>3196</v>
      </c>
      <c r="J2397" s="247" t="s">
        <v>97</v>
      </c>
      <c r="K2397" s="247" t="s">
        <v>1133</v>
      </c>
      <c r="L2397" s="247" t="s">
        <v>154</v>
      </c>
      <c r="M2397" s="414"/>
      <c r="N2397" s="414"/>
    </row>
    <row r="2398" spans="1:14" ht="15.6">
      <c r="A2398" s="476">
        <v>45914</v>
      </c>
      <c r="B2398" s="469" t="s">
        <v>3945</v>
      </c>
      <c r="C2398" s="469" t="s">
        <v>173</v>
      </c>
      <c r="D2398" s="179" t="s">
        <v>442</v>
      </c>
      <c r="E2398" s="469">
        <v>1000</v>
      </c>
      <c r="F2398" s="463">
        <f t="shared" si="29"/>
        <v>1.8744037053212446</v>
      </c>
      <c r="G2398" s="464">
        <v>533.50300000000004</v>
      </c>
      <c r="H2398" s="469" t="s">
        <v>174</v>
      </c>
      <c r="I2398" s="469" t="s">
        <v>3196</v>
      </c>
      <c r="J2398" s="247" t="s">
        <v>97</v>
      </c>
      <c r="K2398" s="247" t="s">
        <v>1133</v>
      </c>
      <c r="L2398" s="247" t="s">
        <v>154</v>
      </c>
      <c r="M2398" s="414"/>
      <c r="N2398" s="414"/>
    </row>
    <row r="2399" spans="1:14" ht="15.6">
      <c r="A2399" s="476">
        <v>45914</v>
      </c>
      <c r="B2399" s="469" t="s">
        <v>3945</v>
      </c>
      <c r="C2399" s="469" t="s">
        <v>173</v>
      </c>
      <c r="D2399" s="179" t="s">
        <v>442</v>
      </c>
      <c r="E2399" s="469">
        <v>1000</v>
      </c>
      <c r="F2399" s="463">
        <f t="shared" si="29"/>
        <v>1.8744037053212446</v>
      </c>
      <c r="G2399" s="464">
        <v>533.50300000000004</v>
      </c>
      <c r="H2399" s="469" t="s">
        <v>174</v>
      </c>
      <c r="I2399" s="469" t="s">
        <v>3196</v>
      </c>
      <c r="J2399" s="247" t="s">
        <v>97</v>
      </c>
      <c r="K2399" s="247" t="s">
        <v>1133</v>
      </c>
      <c r="L2399" s="247" t="s">
        <v>154</v>
      </c>
      <c r="M2399" s="414"/>
      <c r="N2399" s="414"/>
    </row>
    <row r="2400" spans="1:14" ht="15.6">
      <c r="A2400" s="476">
        <v>45914</v>
      </c>
      <c r="B2400" s="469" t="s">
        <v>3946</v>
      </c>
      <c r="C2400" s="469" t="s">
        <v>173</v>
      </c>
      <c r="D2400" s="179" t="s">
        <v>442</v>
      </c>
      <c r="E2400" s="469">
        <v>1000</v>
      </c>
      <c r="F2400" s="463">
        <f t="shared" si="29"/>
        <v>1.8744037053212446</v>
      </c>
      <c r="G2400" s="464">
        <v>533.50300000000004</v>
      </c>
      <c r="H2400" s="469" t="s">
        <v>174</v>
      </c>
      <c r="I2400" s="469" t="s">
        <v>3196</v>
      </c>
      <c r="J2400" s="247" t="s">
        <v>97</v>
      </c>
      <c r="K2400" s="247" t="s">
        <v>1133</v>
      </c>
      <c r="L2400" s="247" t="s">
        <v>154</v>
      </c>
      <c r="M2400" s="414"/>
      <c r="N2400" s="414"/>
    </row>
    <row r="2401" spans="1:14" ht="15.6">
      <c r="A2401" s="476">
        <v>45914</v>
      </c>
      <c r="B2401" s="469" t="s">
        <v>3946</v>
      </c>
      <c r="C2401" s="469" t="s">
        <v>173</v>
      </c>
      <c r="D2401" s="179" t="s">
        <v>442</v>
      </c>
      <c r="E2401" s="469">
        <v>1000</v>
      </c>
      <c r="F2401" s="463">
        <f t="shared" si="29"/>
        <v>1.8744037053212446</v>
      </c>
      <c r="G2401" s="464">
        <v>533.50300000000004</v>
      </c>
      <c r="H2401" s="469" t="s">
        <v>174</v>
      </c>
      <c r="I2401" s="469" t="s">
        <v>3196</v>
      </c>
      <c r="J2401" s="247" t="s">
        <v>97</v>
      </c>
      <c r="K2401" s="247" t="s">
        <v>1133</v>
      </c>
      <c r="L2401" s="247" t="s">
        <v>154</v>
      </c>
      <c r="M2401" s="414"/>
      <c r="N2401" s="414"/>
    </row>
    <row r="2402" spans="1:14" ht="15.6">
      <c r="A2402" s="476">
        <v>45914</v>
      </c>
      <c r="B2402" s="469" t="s">
        <v>3945</v>
      </c>
      <c r="C2402" s="469" t="s">
        <v>173</v>
      </c>
      <c r="D2402" s="179" t="s">
        <v>442</v>
      </c>
      <c r="E2402" s="469">
        <v>1000</v>
      </c>
      <c r="F2402" s="463">
        <f t="shared" si="29"/>
        <v>1.8744037053212446</v>
      </c>
      <c r="G2402" s="464">
        <v>533.50300000000004</v>
      </c>
      <c r="H2402" s="469" t="s">
        <v>174</v>
      </c>
      <c r="I2402" s="469" t="s">
        <v>3196</v>
      </c>
      <c r="J2402" s="247" t="s">
        <v>97</v>
      </c>
      <c r="K2402" s="247" t="s">
        <v>1133</v>
      </c>
      <c r="L2402" s="247" t="s">
        <v>154</v>
      </c>
      <c r="M2402" s="414"/>
      <c r="N2402" s="414"/>
    </row>
    <row r="2403" spans="1:14" ht="15.6">
      <c r="A2403" s="461">
        <v>45914</v>
      </c>
      <c r="B2403" s="247" t="s">
        <v>3399</v>
      </c>
      <c r="C2403" s="247" t="s">
        <v>176</v>
      </c>
      <c r="D2403" s="247" t="s">
        <v>116</v>
      </c>
      <c r="E2403" s="478">
        <v>15000</v>
      </c>
      <c r="F2403" s="463">
        <f t="shared" si="29"/>
        <v>28.116055579818667</v>
      </c>
      <c r="G2403" s="464">
        <v>533.50300000000004</v>
      </c>
      <c r="H2403" s="256" t="s">
        <v>196</v>
      </c>
      <c r="I2403" s="469" t="s">
        <v>3421</v>
      </c>
      <c r="J2403" s="247" t="s">
        <v>97</v>
      </c>
      <c r="K2403" s="247" t="s">
        <v>1133</v>
      </c>
      <c r="L2403" s="247" t="s">
        <v>154</v>
      </c>
      <c r="M2403" s="76"/>
      <c r="N2403" s="76"/>
    </row>
    <row r="2404" spans="1:14" ht="15.6">
      <c r="A2404" s="461">
        <v>45914</v>
      </c>
      <c r="B2404" s="469" t="s">
        <v>3400</v>
      </c>
      <c r="C2404" s="359" t="s">
        <v>195</v>
      </c>
      <c r="D2404" s="359" t="s">
        <v>116</v>
      </c>
      <c r="E2404" s="472">
        <v>500</v>
      </c>
      <c r="F2404" s="463">
        <f t="shared" si="29"/>
        <v>0.93720185266062228</v>
      </c>
      <c r="G2404" s="464">
        <v>533.50300000000004</v>
      </c>
      <c r="H2404" s="256" t="s">
        <v>196</v>
      </c>
      <c r="I2404" s="469" t="s">
        <v>3411</v>
      </c>
      <c r="J2404" s="247" t="s">
        <v>97</v>
      </c>
      <c r="K2404" s="247" t="s">
        <v>1133</v>
      </c>
      <c r="L2404" s="247" t="s">
        <v>154</v>
      </c>
      <c r="M2404" s="76"/>
      <c r="N2404" s="76"/>
    </row>
    <row r="2405" spans="1:14" ht="15.6">
      <c r="A2405" s="461">
        <v>45914</v>
      </c>
      <c r="B2405" s="247" t="s">
        <v>3401</v>
      </c>
      <c r="C2405" s="243" t="s">
        <v>195</v>
      </c>
      <c r="D2405" s="243" t="s">
        <v>116</v>
      </c>
      <c r="E2405" s="478">
        <v>2500</v>
      </c>
      <c r="F2405" s="463">
        <f t="shared" si="29"/>
        <v>4.6860092633031112</v>
      </c>
      <c r="G2405" s="464">
        <v>533.50300000000004</v>
      </c>
      <c r="H2405" s="256" t="s">
        <v>196</v>
      </c>
      <c r="I2405" s="469" t="s">
        <v>3411</v>
      </c>
      <c r="J2405" s="247" t="s">
        <v>97</v>
      </c>
      <c r="K2405" s="247" t="s">
        <v>1133</v>
      </c>
      <c r="L2405" s="247" t="s">
        <v>154</v>
      </c>
      <c r="M2405" s="76"/>
      <c r="N2405" s="76"/>
    </row>
    <row r="2406" spans="1:14" ht="15.6">
      <c r="A2406" s="476">
        <v>45915</v>
      </c>
      <c r="B2406" s="469" t="s">
        <v>2100</v>
      </c>
      <c r="C2406" s="462" t="s">
        <v>173</v>
      </c>
      <c r="D2406" s="462" t="s">
        <v>118</v>
      </c>
      <c r="E2406" s="359">
        <v>1000</v>
      </c>
      <c r="F2406" s="463">
        <f t="shared" ref="F2406:F2469" si="30">E2406/G2406</f>
        <v>1.8744037053212446</v>
      </c>
      <c r="G2406" s="464">
        <v>533.50300000000004</v>
      </c>
      <c r="H2406" s="465" t="s">
        <v>152</v>
      </c>
      <c r="I2406" s="469" t="s">
        <v>2868</v>
      </c>
      <c r="J2406" s="247" t="s">
        <v>97</v>
      </c>
      <c r="K2406" s="247" t="s">
        <v>1133</v>
      </c>
      <c r="L2406" s="247" t="s">
        <v>154</v>
      </c>
      <c r="M2406" s="335"/>
      <c r="N2406" s="335"/>
    </row>
    <row r="2407" spans="1:14" ht="15.6">
      <c r="A2407" s="476">
        <v>45915</v>
      </c>
      <c r="B2407" s="469" t="s">
        <v>2101</v>
      </c>
      <c r="C2407" s="462" t="s">
        <v>173</v>
      </c>
      <c r="D2407" s="462" t="s">
        <v>118</v>
      </c>
      <c r="E2407" s="359">
        <v>1000</v>
      </c>
      <c r="F2407" s="463">
        <f t="shared" si="30"/>
        <v>1.8744037053212446</v>
      </c>
      <c r="G2407" s="464">
        <v>533.50300000000004</v>
      </c>
      <c r="H2407" s="465" t="s">
        <v>152</v>
      </c>
      <c r="I2407" s="469" t="s">
        <v>2868</v>
      </c>
      <c r="J2407" s="247" t="s">
        <v>97</v>
      </c>
      <c r="K2407" s="247" t="s">
        <v>1133</v>
      </c>
      <c r="L2407" s="247" t="s">
        <v>154</v>
      </c>
      <c r="M2407" s="335"/>
      <c r="N2407" s="335"/>
    </row>
    <row r="2408" spans="1:14" ht="15.6">
      <c r="A2408" s="474">
        <v>45915</v>
      </c>
      <c r="B2408" s="475" t="s">
        <v>3847</v>
      </c>
      <c r="C2408" s="475" t="s">
        <v>173</v>
      </c>
      <c r="D2408" s="179" t="s">
        <v>442</v>
      </c>
      <c r="E2408" s="475">
        <v>1000</v>
      </c>
      <c r="F2408" s="463">
        <f t="shared" si="30"/>
        <v>1.8744037053212446</v>
      </c>
      <c r="G2408" s="464">
        <v>533.50300000000004</v>
      </c>
      <c r="H2408" s="475" t="s">
        <v>183</v>
      </c>
      <c r="I2408" s="475" t="s">
        <v>3086</v>
      </c>
      <c r="J2408" s="247" t="s">
        <v>97</v>
      </c>
      <c r="K2408" s="247" t="s">
        <v>1133</v>
      </c>
      <c r="L2408" s="247" t="s">
        <v>154</v>
      </c>
      <c r="M2408" s="414"/>
      <c r="N2408" s="414"/>
    </row>
    <row r="2409" spans="1:14" ht="15.6">
      <c r="A2409" s="474">
        <v>45915</v>
      </c>
      <c r="B2409" s="475" t="s">
        <v>3842</v>
      </c>
      <c r="C2409" s="475" t="s">
        <v>173</v>
      </c>
      <c r="D2409" s="179" t="s">
        <v>442</v>
      </c>
      <c r="E2409" s="475">
        <v>1000</v>
      </c>
      <c r="F2409" s="463">
        <f t="shared" si="30"/>
        <v>1.8744037053212446</v>
      </c>
      <c r="G2409" s="464">
        <v>533.50300000000004</v>
      </c>
      <c r="H2409" s="475" t="s">
        <v>183</v>
      </c>
      <c r="I2409" s="475" t="s">
        <v>3086</v>
      </c>
      <c r="J2409" s="247" t="s">
        <v>97</v>
      </c>
      <c r="K2409" s="247" t="s">
        <v>1133</v>
      </c>
      <c r="L2409" s="247" t="s">
        <v>154</v>
      </c>
      <c r="M2409" s="414"/>
      <c r="N2409" s="414"/>
    </row>
    <row r="2410" spans="1:14" ht="15.6">
      <c r="A2410" s="474">
        <v>45915</v>
      </c>
      <c r="B2410" s="475" t="s">
        <v>3840</v>
      </c>
      <c r="C2410" s="475" t="s">
        <v>173</v>
      </c>
      <c r="D2410" s="179" t="s">
        <v>442</v>
      </c>
      <c r="E2410" s="475">
        <v>1000</v>
      </c>
      <c r="F2410" s="463">
        <f t="shared" si="30"/>
        <v>1.8744037053212446</v>
      </c>
      <c r="G2410" s="464">
        <v>533.50300000000004</v>
      </c>
      <c r="H2410" s="475" t="s">
        <v>183</v>
      </c>
      <c r="I2410" s="475" t="s">
        <v>3086</v>
      </c>
      <c r="J2410" s="247" t="s">
        <v>97</v>
      </c>
      <c r="K2410" s="247" t="s">
        <v>1133</v>
      </c>
      <c r="L2410" s="247" t="s">
        <v>154</v>
      </c>
      <c r="M2410" s="414"/>
      <c r="N2410" s="414"/>
    </row>
    <row r="2411" spans="1:14" ht="15.6">
      <c r="A2411" s="474">
        <v>45915</v>
      </c>
      <c r="B2411" s="475" t="s">
        <v>3836</v>
      </c>
      <c r="C2411" s="475" t="s">
        <v>173</v>
      </c>
      <c r="D2411" s="179" t="s">
        <v>442</v>
      </c>
      <c r="E2411" s="475">
        <v>1000</v>
      </c>
      <c r="F2411" s="463">
        <f t="shared" si="30"/>
        <v>1.8744037053212446</v>
      </c>
      <c r="G2411" s="464">
        <v>533.50300000000004</v>
      </c>
      <c r="H2411" s="475" t="s">
        <v>183</v>
      </c>
      <c r="I2411" s="475" t="s">
        <v>3086</v>
      </c>
      <c r="J2411" s="247" t="s">
        <v>97</v>
      </c>
      <c r="K2411" s="247" t="s">
        <v>1133</v>
      </c>
      <c r="L2411" s="247" t="s">
        <v>154</v>
      </c>
      <c r="M2411" s="414"/>
      <c r="N2411" s="414"/>
    </row>
    <row r="2412" spans="1:14" ht="15.6">
      <c r="A2412" s="474">
        <v>45915</v>
      </c>
      <c r="B2412" s="475" t="s">
        <v>3840</v>
      </c>
      <c r="C2412" s="475" t="s">
        <v>173</v>
      </c>
      <c r="D2412" s="179" t="s">
        <v>442</v>
      </c>
      <c r="E2412" s="475">
        <v>1000</v>
      </c>
      <c r="F2412" s="463">
        <f t="shared" si="30"/>
        <v>1.8744037053212446</v>
      </c>
      <c r="G2412" s="464">
        <v>533.50300000000004</v>
      </c>
      <c r="H2412" s="475" t="s">
        <v>183</v>
      </c>
      <c r="I2412" s="475" t="s">
        <v>3086</v>
      </c>
      <c r="J2412" s="247" t="s">
        <v>97</v>
      </c>
      <c r="K2412" s="247" t="s">
        <v>1133</v>
      </c>
      <c r="L2412" s="247" t="s">
        <v>154</v>
      </c>
      <c r="M2412" s="414"/>
      <c r="N2412" s="414"/>
    </row>
    <row r="2413" spans="1:14" ht="15.6">
      <c r="A2413" s="474">
        <v>45915</v>
      </c>
      <c r="B2413" s="475" t="s">
        <v>3848</v>
      </c>
      <c r="C2413" s="475" t="s">
        <v>173</v>
      </c>
      <c r="D2413" s="179" t="s">
        <v>442</v>
      </c>
      <c r="E2413" s="475">
        <v>1000</v>
      </c>
      <c r="F2413" s="463">
        <f t="shared" si="30"/>
        <v>1.8744037053212446</v>
      </c>
      <c r="G2413" s="464">
        <v>533.50300000000004</v>
      </c>
      <c r="H2413" s="475" t="s">
        <v>183</v>
      </c>
      <c r="I2413" s="475" t="s">
        <v>3086</v>
      </c>
      <c r="J2413" s="247" t="s">
        <v>97</v>
      </c>
      <c r="K2413" s="247" t="s">
        <v>1133</v>
      </c>
      <c r="L2413" s="247" t="s">
        <v>154</v>
      </c>
      <c r="M2413" s="414"/>
      <c r="N2413" s="414"/>
    </row>
    <row r="2414" spans="1:14" ht="15.6">
      <c r="A2414" s="476">
        <v>45915</v>
      </c>
      <c r="B2414" s="469" t="s">
        <v>3947</v>
      </c>
      <c r="C2414" s="469" t="s">
        <v>173</v>
      </c>
      <c r="D2414" s="179" t="s">
        <v>442</v>
      </c>
      <c r="E2414" s="469">
        <v>1000</v>
      </c>
      <c r="F2414" s="463">
        <f t="shared" si="30"/>
        <v>1.8744037053212446</v>
      </c>
      <c r="G2414" s="464">
        <v>533.50300000000004</v>
      </c>
      <c r="H2414" s="469" t="s">
        <v>174</v>
      </c>
      <c r="I2414" s="469" t="s">
        <v>3196</v>
      </c>
      <c r="J2414" s="247" t="s">
        <v>97</v>
      </c>
      <c r="K2414" s="247" t="s">
        <v>1133</v>
      </c>
      <c r="L2414" s="247" t="s">
        <v>154</v>
      </c>
      <c r="M2414" s="414"/>
      <c r="N2414" s="414"/>
    </row>
    <row r="2415" spans="1:14" ht="15.6">
      <c r="A2415" s="476">
        <v>45915</v>
      </c>
      <c r="B2415" s="469" t="s">
        <v>3948</v>
      </c>
      <c r="C2415" s="469" t="s">
        <v>173</v>
      </c>
      <c r="D2415" s="179" t="s">
        <v>442</v>
      </c>
      <c r="E2415" s="469">
        <v>1000</v>
      </c>
      <c r="F2415" s="463">
        <f t="shared" si="30"/>
        <v>1.8744037053212446</v>
      </c>
      <c r="G2415" s="464">
        <v>533.50300000000004</v>
      </c>
      <c r="H2415" s="469" t="s">
        <v>174</v>
      </c>
      <c r="I2415" s="469" t="s">
        <v>3196</v>
      </c>
      <c r="J2415" s="247" t="s">
        <v>97</v>
      </c>
      <c r="K2415" s="247" t="s">
        <v>1133</v>
      </c>
      <c r="L2415" s="247" t="s">
        <v>154</v>
      </c>
      <c r="M2415" s="414"/>
      <c r="N2415" s="414"/>
    </row>
    <row r="2416" spans="1:14" ht="15.6">
      <c r="A2416" s="476">
        <v>45915</v>
      </c>
      <c r="B2416" s="469" t="s">
        <v>3949</v>
      </c>
      <c r="C2416" s="469" t="s">
        <v>173</v>
      </c>
      <c r="D2416" s="179" t="s">
        <v>442</v>
      </c>
      <c r="E2416" s="469">
        <v>1000</v>
      </c>
      <c r="F2416" s="463">
        <f t="shared" si="30"/>
        <v>1.8744037053212446</v>
      </c>
      <c r="G2416" s="464">
        <v>533.50300000000004</v>
      </c>
      <c r="H2416" s="469" t="s">
        <v>174</v>
      </c>
      <c r="I2416" s="469" t="s">
        <v>3196</v>
      </c>
      <c r="J2416" s="247" t="s">
        <v>97</v>
      </c>
      <c r="K2416" s="247" t="s">
        <v>1133</v>
      </c>
      <c r="L2416" s="247" t="s">
        <v>154</v>
      </c>
      <c r="M2416" s="414"/>
      <c r="N2416" s="414"/>
    </row>
    <row r="2417" spans="1:14" ht="15.6">
      <c r="A2417" s="476">
        <v>45915</v>
      </c>
      <c r="B2417" s="469" t="s">
        <v>3947</v>
      </c>
      <c r="C2417" s="469" t="s">
        <v>173</v>
      </c>
      <c r="D2417" s="179" t="s">
        <v>442</v>
      </c>
      <c r="E2417" s="469">
        <v>1000</v>
      </c>
      <c r="F2417" s="463">
        <f t="shared" si="30"/>
        <v>1.8744037053212446</v>
      </c>
      <c r="G2417" s="464">
        <v>533.50300000000004</v>
      </c>
      <c r="H2417" s="469" t="s">
        <v>174</v>
      </c>
      <c r="I2417" s="469" t="s">
        <v>3196</v>
      </c>
      <c r="J2417" s="247" t="s">
        <v>97</v>
      </c>
      <c r="K2417" s="247" t="s">
        <v>1133</v>
      </c>
      <c r="L2417" s="247" t="s">
        <v>154</v>
      </c>
      <c r="M2417" s="414"/>
      <c r="N2417" s="414"/>
    </row>
    <row r="2418" spans="1:14" ht="15.6">
      <c r="A2418" s="476">
        <v>45915</v>
      </c>
      <c r="B2418" s="469" t="s">
        <v>3950</v>
      </c>
      <c r="C2418" s="469" t="s">
        <v>173</v>
      </c>
      <c r="D2418" s="179" t="s">
        <v>442</v>
      </c>
      <c r="E2418" s="469">
        <v>1000</v>
      </c>
      <c r="F2418" s="463">
        <f t="shared" si="30"/>
        <v>1.8744037053212446</v>
      </c>
      <c r="G2418" s="464">
        <v>533.50300000000004</v>
      </c>
      <c r="H2418" s="469" t="s">
        <v>174</v>
      </c>
      <c r="I2418" s="469" t="s">
        <v>3196</v>
      </c>
      <c r="J2418" s="247" t="s">
        <v>97</v>
      </c>
      <c r="K2418" s="247" t="s">
        <v>1133</v>
      </c>
      <c r="L2418" s="247" t="s">
        <v>154</v>
      </c>
      <c r="M2418" s="335"/>
      <c r="N2418" s="335"/>
    </row>
    <row r="2419" spans="1:14" ht="15.6">
      <c r="A2419" s="471">
        <v>45915</v>
      </c>
      <c r="B2419" s="247" t="s">
        <v>3947</v>
      </c>
      <c r="C2419" s="247" t="s">
        <v>173</v>
      </c>
      <c r="D2419" s="179" t="s">
        <v>442</v>
      </c>
      <c r="E2419" s="247">
        <v>1000</v>
      </c>
      <c r="F2419" s="463">
        <f t="shared" si="30"/>
        <v>1.8744037053212446</v>
      </c>
      <c r="G2419" s="464">
        <v>533.50300000000004</v>
      </c>
      <c r="H2419" s="247" t="s">
        <v>174</v>
      </c>
      <c r="I2419" s="469" t="s">
        <v>3196</v>
      </c>
      <c r="J2419" s="247" t="s">
        <v>97</v>
      </c>
      <c r="K2419" s="247" t="s">
        <v>1133</v>
      </c>
      <c r="L2419" s="247" t="s">
        <v>154</v>
      </c>
      <c r="M2419" s="335"/>
      <c r="N2419" s="335"/>
    </row>
    <row r="2420" spans="1:14" ht="15.6">
      <c r="A2420" s="476">
        <v>45915</v>
      </c>
      <c r="B2420" s="469" t="s">
        <v>3306</v>
      </c>
      <c r="C2420" s="469" t="s">
        <v>173</v>
      </c>
      <c r="D2420" s="469" t="s">
        <v>116</v>
      </c>
      <c r="E2420" s="470">
        <v>500</v>
      </c>
      <c r="F2420" s="463">
        <f t="shared" si="30"/>
        <v>0.93720185266062228</v>
      </c>
      <c r="G2420" s="464">
        <v>533.50300000000004</v>
      </c>
      <c r="H2420" s="469" t="s">
        <v>189</v>
      </c>
      <c r="I2420" s="469" t="s">
        <v>3324</v>
      </c>
      <c r="J2420" s="247" t="s">
        <v>97</v>
      </c>
      <c r="K2420" s="247" t="s">
        <v>1133</v>
      </c>
      <c r="L2420" s="247" t="s">
        <v>154</v>
      </c>
      <c r="M2420" s="335"/>
      <c r="N2420" s="335"/>
    </row>
    <row r="2421" spans="1:14" ht="15.6">
      <c r="A2421" s="476">
        <v>45915</v>
      </c>
      <c r="B2421" s="469" t="s">
        <v>3308</v>
      </c>
      <c r="C2421" s="469" t="s">
        <v>173</v>
      </c>
      <c r="D2421" s="469" t="s">
        <v>116</v>
      </c>
      <c r="E2421" s="470">
        <v>500</v>
      </c>
      <c r="F2421" s="463">
        <f t="shared" si="30"/>
        <v>0.93720185266062228</v>
      </c>
      <c r="G2421" s="464">
        <v>533.50300000000004</v>
      </c>
      <c r="H2421" s="469" t="s">
        <v>189</v>
      </c>
      <c r="I2421" s="469" t="s">
        <v>3324</v>
      </c>
      <c r="J2421" s="247" t="s">
        <v>97</v>
      </c>
      <c r="K2421" s="247" t="s">
        <v>1133</v>
      </c>
      <c r="L2421" s="247" t="s">
        <v>154</v>
      </c>
      <c r="M2421" s="335"/>
      <c r="N2421" s="335"/>
    </row>
    <row r="2422" spans="1:14" ht="15.6">
      <c r="A2422" s="471">
        <v>45915</v>
      </c>
      <c r="B2422" s="247" t="s">
        <v>2358</v>
      </c>
      <c r="C2422" s="469" t="s">
        <v>181</v>
      </c>
      <c r="D2422" s="469" t="s">
        <v>117</v>
      </c>
      <c r="E2422" s="468">
        <v>3600</v>
      </c>
      <c r="F2422" s="463">
        <f t="shared" si="30"/>
        <v>6.7478533391564799</v>
      </c>
      <c r="G2422" s="464">
        <v>533.50300000000004</v>
      </c>
      <c r="H2422" s="469" t="s">
        <v>189</v>
      </c>
      <c r="I2422" s="247" t="s">
        <v>3329</v>
      </c>
      <c r="J2422" s="247" t="s">
        <v>97</v>
      </c>
      <c r="K2422" s="247" t="s">
        <v>1133</v>
      </c>
      <c r="L2422" s="247" t="s">
        <v>154</v>
      </c>
      <c r="M2422" s="335"/>
      <c r="N2422" s="335"/>
    </row>
    <row r="2423" spans="1:14" ht="15.6">
      <c r="A2423" s="476">
        <v>45916</v>
      </c>
      <c r="B2423" s="469" t="s">
        <v>2100</v>
      </c>
      <c r="C2423" s="462" t="s">
        <v>173</v>
      </c>
      <c r="D2423" s="462" t="s">
        <v>118</v>
      </c>
      <c r="E2423" s="359">
        <v>1000</v>
      </c>
      <c r="F2423" s="463">
        <f t="shared" si="30"/>
        <v>1.8744037053212446</v>
      </c>
      <c r="G2423" s="464">
        <v>533.50300000000004</v>
      </c>
      <c r="H2423" s="465" t="s">
        <v>152</v>
      </c>
      <c r="I2423" s="469" t="s">
        <v>2868</v>
      </c>
      <c r="J2423" s="247" t="s">
        <v>97</v>
      </c>
      <c r="K2423" s="247" t="s">
        <v>1133</v>
      </c>
      <c r="L2423" s="247" t="s">
        <v>154</v>
      </c>
      <c r="M2423" s="335"/>
      <c r="N2423" s="335"/>
    </row>
    <row r="2424" spans="1:14" ht="15.6">
      <c r="A2424" s="476">
        <v>45916</v>
      </c>
      <c r="B2424" s="469" t="s">
        <v>2101</v>
      </c>
      <c r="C2424" s="462" t="s">
        <v>173</v>
      </c>
      <c r="D2424" s="462" t="s">
        <v>118</v>
      </c>
      <c r="E2424" s="359">
        <v>1000</v>
      </c>
      <c r="F2424" s="463">
        <f t="shared" si="30"/>
        <v>1.8744037053212446</v>
      </c>
      <c r="G2424" s="464">
        <v>533.50300000000004</v>
      </c>
      <c r="H2424" s="465" t="s">
        <v>152</v>
      </c>
      <c r="I2424" s="469" t="s">
        <v>2868</v>
      </c>
      <c r="J2424" s="247" t="s">
        <v>97</v>
      </c>
      <c r="K2424" s="247" t="s">
        <v>1133</v>
      </c>
      <c r="L2424" s="247" t="s">
        <v>154</v>
      </c>
      <c r="M2424" s="335"/>
      <c r="N2424" s="335"/>
    </row>
    <row r="2425" spans="1:14" ht="15.6">
      <c r="A2425" s="474">
        <v>45916</v>
      </c>
      <c r="B2425" s="216" t="s">
        <v>2892</v>
      </c>
      <c r="C2425" s="216" t="s">
        <v>173</v>
      </c>
      <c r="D2425" s="337" t="s">
        <v>116</v>
      </c>
      <c r="E2425" s="475">
        <v>1500</v>
      </c>
      <c r="F2425" s="463">
        <f t="shared" si="30"/>
        <v>2.8116055579818666</v>
      </c>
      <c r="G2425" s="464">
        <v>533.50300000000004</v>
      </c>
      <c r="H2425" s="174" t="s">
        <v>199</v>
      </c>
      <c r="I2425" s="216" t="s">
        <v>2911</v>
      </c>
      <c r="J2425" s="247" t="s">
        <v>97</v>
      </c>
      <c r="K2425" s="247" t="s">
        <v>1133</v>
      </c>
      <c r="L2425" s="247" t="s">
        <v>154</v>
      </c>
      <c r="M2425" s="335"/>
      <c r="N2425" s="335"/>
    </row>
    <row r="2426" spans="1:14" ht="15.6">
      <c r="A2426" s="474">
        <v>45916</v>
      </c>
      <c r="B2426" s="216" t="s">
        <v>2893</v>
      </c>
      <c r="C2426" s="216" t="s">
        <v>173</v>
      </c>
      <c r="D2426" s="337" t="s">
        <v>116</v>
      </c>
      <c r="E2426" s="475">
        <v>1500</v>
      </c>
      <c r="F2426" s="463">
        <f t="shared" si="30"/>
        <v>2.8116055579818666</v>
      </c>
      <c r="G2426" s="464">
        <v>533.50300000000004</v>
      </c>
      <c r="H2426" s="174" t="s">
        <v>199</v>
      </c>
      <c r="I2426" s="216" t="s">
        <v>2911</v>
      </c>
      <c r="J2426" s="247" t="s">
        <v>97</v>
      </c>
      <c r="K2426" s="247" t="s">
        <v>1133</v>
      </c>
      <c r="L2426" s="247" t="s">
        <v>154</v>
      </c>
      <c r="M2426" s="335"/>
      <c r="N2426" s="335"/>
    </row>
    <row r="2427" spans="1:14" ht="15.6">
      <c r="A2427" s="467">
        <v>45916</v>
      </c>
      <c r="B2427" s="469" t="s">
        <v>2942</v>
      </c>
      <c r="C2427" s="469" t="s">
        <v>173</v>
      </c>
      <c r="D2427" s="469" t="s">
        <v>117</v>
      </c>
      <c r="E2427" s="470">
        <v>1000</v>
      </c>
      <c r="F2427" s="463">
        <f t="shared" si="30"/>
        <v>1.8744037053212446</v>
      </c>
      <c r="G2427" s="464">
        <v>533.50300000000004</v>
      </c>
      <c r="H2427" s="469" t="s">
        <v>583</v>
      </c>
      <c r="I2427" s="469" t="s">
        <v>2970</v>
      </c>
      <c r="J2427" s="247" t="s">
        <v>97</v>
      </c>
      <c r="K2427" s="247" t="s">
        <v>1133</v>
      </c>
      <c r="L2427" s="247" t="s">
        <v>154</v>
      </c>
      <c r="M2427" s="414"/>
      <c r="N2427" s="414"/>
    </row>
    <row r="2428" spans="1:14" ht="15.6">
      <c r="A2428" s="467">
        <v>45916</v>
      </c>
      <c r="B2428" s="469" t="s">
        <v>2940</v>
      </c>
      <c r="C2428" s="469" t="s">
        <v>173</v>
      </c>
      <c r="D2428" s="469" t="s">
        <v>117</v>
      </c>
      <c r="E2428" s="470">
        <v>1000</v>
      </c>
      <c r="F2428" s="463">
        <f t="shared" si="30"/>
        <v>1.8744037053212446</v>
      </c>
      <c r="G2428" s="464">
        <v>533.50300000000004</v>
      </c>
      <c r="H2428" s="469" t="s">
        <v>583</v>
      </c>
      <c r="I2428" s="469" t="s">
        <v>2970</v>
      </c>
      <c r="J2428" s="247" t="s">
        <v>97</v>
      </c>
      <c r="K2428" s="247" t="s">
        <v>1133</v>
      </c>
      <c r="L2428" s="247" t="s">
        <v>154</v>
      </c>
      <c r="M2428" s="414"/>
      <c r="N2428" s="414"/>
    </row>
    <row r="2429" spans="1:14" ht="15.6">
      <c r="A2429" s="474">
        <v>45916</v>
      </c>
      <c r="B2429" s="475" t="s">
        <v>3840</v>
      </c>
      <c r="C2429" s="475" t="s">
        <v>173</v>
      </c>
      <c r="D2429" s="179" t="s">
        <v>442</v>
      </c>
      <c r="E2429" s="475">
        <v>1000</v>
      </c>
      <c r="F2429" s="463">
        <f t="shared" si="30"/>
        <v>1.8744037053212446</v>
      </c>
      <c r="G2429" s="464">
        <v>533.50300000000004</v>
      </c>
      <c r="H2429" s="475" t="s">
        <v>183</v>
      </c>
      <c r="I2429" s="475" t="s">
        <v>3086</v>
      </c>
      <c r="J2429" s="247" t="s">
        <v>97</v>
      </c>
      <c r="K2429" s="247" t="s">
        <v>1133</v>
      </c>
      <c r="L2429" s="247" t="s">
        <v>154</v>
      </c>
      <c r="M2429" s="414"/>
      <c r="N2429" s="414"/>
    </row>
    <row r="2430" spans="1:14" ht="15.6">
      <c r="A2430" s="474">
        <v>45916</v>
      </c>
      <c r="B2430" s="475" t="s">
        <v>3840</v>
      </c>
      <c r="C2430" s="475" t="s">
        <v>173</v>
      </c>
      <c r="D2430" s="179" t="s">
        <v>442</v>
      </c>
      <c r="E2430" s="475">
        <v>1000</v>
      </c>
      <c r="F2430" s="463">
        <f t="shared" si="30"/>
        <v>1.8744037053212446</v>
      </c>
      <c r="G2430" s="464">
        <v>533.50300000000004</v>
      </c>
      <c r="H2430" s="475" t="s">
        <v>183</v>
      </c>
      <c r="I2430" s="475" t="s">
        <v>3086</v>
      </c>
      <c r="J2430" s="247" t="s">
        <v>97</v>
      </c>
      <c r="K2430" s="247" t="s">
        <v>1133</v>
      </c>
      <c r="L2430" s="247" t="s">
        <v>154</v>
      </c>
      <c r="M2430" s="414"/>
      <c r="N2430" s="414"/>
    </row>
    <row r="2431" spans="1:14" ht="15.6">
      <c r="A2431" s="474">
        <v>45916</v>
      </c>
      <c r="B2431" s="475" t="s">
        <v>3848</v>
      </c>
      <c r="C2431" s="475" t="s">
        <v>173</v>
      </c>
      <c r="D2431" s="179" t="s">
        <v>442</v>
      </c>
      <c r="E2431" s="475">
        <v>1000</v>
      </c>
      <c r="F2431" s="463">
        <f t="shared" si="30"/>
        <v>1.8744037053212446</v>
      </c>
      <c r="G2431" s="464">
        <v>533.50300000000004</v>
      </c>
      <c r="H2431" s="475" t="s">
        <v>183</v>
      </c>
      <c r="I2431" s="475" t="s">
        <v>3086</v>
      </c>
      <c r="J2431" s="247" t="s">
        <v>97</v>
      </c>
      <c r="K2431" s="247" t="s">
        <v>1133</v>
      </c>
      <c r="L2431" s="247" t="s">
        <v>154</v>
      </c>
      <c r="M2431" s="414"/>
      <c r="N2431" s="414"/>
    </row>
    <row r="2432" spans="1:14" ht="15.6">
      <c r="A2432" s="474">
        <v>45916</v>
      </c>
      <c r="B2432" s="475" t="s">
        <v>3849</v>
      </c>
      <c r="C2432" s="475" t="s">
        <v>173</v>
      </c>
      <c r="D2432" s="179" t="s">
        <v>442</v>
      </c>
      <c r="E2432" s="475">
        <v>1000</v>
      </c>
      <c r="F2432" s="463">
        <f t="shared" si="30"/>
        <v>1.8744037053212446</v>
      </c>
      <c r="G2432" s="464">
        <v>533.50300000000004</v>
      </c>
      <c r="H2432" s="475" t="s">
        <v>183</v>
      </c>
      <c r="I2432" s="475" t="s">
        <v>3086</v>
      </c>
      <c r="J2432" s="247" t="s">
        <v>97</v>
      </c>
      <c r="K2432" s="247" t="s">
        <v>1133</v>
      </c>
      <c r="L2432" s="247" t="s">
        <v>154</v>
      </c>
      <c r="M2432" s="414"/>
      <c r="N2432" s="414"/>
    </row>
    <row r="2433" spans="1:14" ht="15.6">
      <c r="A2433" s="474">
        <v>45916</v>
      </c>
      <c r="B2433" s="475" t="s">
        <v>3850</v>
      </c>
      <c r="C2433" s="475" t="s">
        <v>173</v>
      </c>
      <c r="D2433" s="179" t="s">
        <v>442</v>
      </c>
      <c r="E2433" s="475">
        <v>1000</v>
      </c>
      <c r="F2433" s="463">
        <f t="shared" si="30"/>
        <v>1.8744037053212446</v>
      </c>
      <c r="G2433" s="464">
        <v>533.50300000000004</v>
      </c>
      <c r="H2433" s="475" t="s">
        <v>183</v>
      </c>
      <c r="I2433" s="475" t="s">
        <v>3086</v>
      </c>
      <c r="J2433" s="247" t="s">
        <v>97</v>
      </c>
      <c r="K2433" s="247" t="s">
        <v>1133</v>
      </c>
      <c r="L2433" s="247" t="s">
        <v>154</v>
      </c>
      <c r="M2433" s="414"/>
      <c r="N2433" s="414"/>
    </row>
    <row r="2434" spans="1:14" ht="15.6">
      <c r="A2434" s="474">
        <v>45916</v>
      </c>
      <c r="B2434" s="475" t="s">
        <v>3842</v>
      </c>
      <c r="C2434" s="475" t="s">
        <v>173</v>
      </c>
      <c r="D2434" s="179" t="s">
        <v>442</v>
      </c>
      <c r="E2434" s="475">
        <v>1000</v>
      </c>
      <c r="F2434" s="463">
        <f t="shared" si="30"/>
        <v>1.8744037053212446</v>
      </c>
      <c r="G2434" s="464">
        <v>533.50300000000004</v>
      </c>
      <c r="H2434" s="475" t="s">
        <v>183</v>
      </c>
      <c r="I2434" s="475" t="s">
        <v>3086</v>
      </c>
      <c r="J2434" s="247" t="s">
        <v>97</v>
      </c>
      <c r="K2434" s="247" t="s">
        <v>1133</v>
      </c>
      <c r="L2434" s="247" t="s">
        <v>154</v>
      </c>
      <c r="M2434" s="414"/>
      <c r="N2434" s="414"/>
    </row>
    <row r="2435" spans="1:14" ht="15.6">
      <c r="A2435" s="474">
        <v>45916</v>
      </c>
      <c r="B2435" s="475" t="s">
        <v>3840</v>
      </c>
      <c r="C2435" s="475" t="s">
        <v>173</v>
      </c>
      <c r="D2435" s="179" t="s">
        <v>442</v>
      </c>
      <c r="E2435" s="475">
        <v>1000</v>
      </c>
      <c r="F2435" s="463">
        <f t="shared" si="30"/>
        <v>1.8744037053212446</v>
      </c>
      <c r="G2435" s="464">
        <v>533.50300000000004</v>
      </c>
      <c r="H2435" s="475" t="s">
        <v>183</v>
      </c>
      <c r="I2435" s="475" t="s">
        <v>3086</v>
      </c>
      <c r="J2435" s="247" t="s">
        <v>97</v>
      </c>
      <c r="K2435" s="247" t="s">
        <v>1133</v>
      </c>
      <c r="L2435" s="247" t="s">
        <v>154</v>
      </c>
      <c r="M2435" s="414"/>
      <c r="N2435" s="414"/>
    </row>
    <row r="2436" spans="1:14" ht="15.6">
      <c r="A2436" s="474">
        <v>45916</v>
      </c>
      <c r="B2436" s="475" t="s">
        <v>3851</v>
      </c>
      <c r="C2436" s="475" t="s">
        <v>173</v>
      </c>
      <c r="D2436" s="179" t="s">
        <v>442</v>
      </c>
      <c r="E2436" s="475">
        <v>1000</v>
      </c>
      <c r="F2436" s="463">
        <f t="shared" si="30"/>
        <v>1.8744037053212446</v>
      </c>
      <c r="G2436" s="464">
        <v>533.50300000000004</v>
      </c>
      <c r="H2436" s="475" t="s">
        <v>183</v>
      </c>
      <c r="I2436" s="475" t="s">
        <v>3086</v>
      </c>
      <c r="J2436" s="247" t="s">
        <v>97</v>
      </c>
      <c r="K2436" s="247" t="s">
        <v>1133</v>
      </c>
      <c r="L2436" s="247" t="s">
        <v>154</v>
      </c>
      <c r="M2436" s="414"/>
      <c r="N2436" s="414"/>
    </row>
    <row r="2437" spans="1:14" ht="15.6">
      <c r="A2437" s="476">
        <v>45916</v>
      </c>
      <c r="B2437" s="469" t="s">
        <v>3945</v>
      </c>
      <c r="C2437" s="469" t="s">
        <v>173</v>
      </c>
      <c r="D2437" s="179" t="s">
        <v>442</v>
      </c>
      <c r="E2437" s="469">
        <v>1000</v>
      </c>
      <c r="F2437" s="463">
        <f t="shared" si="30"/>
        <v>1.8744037053212446</v>
      </c>
      <c r="G2437" s="464">
        <v>533.50300000000004</v>
      </c>
      <c r="H2437" s="469" t="s">
        <v>174</v>
      </c>
      <c r="I2437" s="469" t="s">
        <v>3196</v>
      </c>
      <c r="J2437" s="247" t="s">
        <v>97</v>
      </c>
      <c r="K2437" s="247" t="s">
        <v>1133</v>
      </c>
      <c r="L2437" s="247" t="s">
        <v>154</v>
      </c>
      <c r="M2437" s="335"/>
      <c r="N2437" s="335"/>
    </row>
    <row r="2438" spans="1:14" ht="15.6">
      <c r="A2438" s="476">
        <v>45916</v>
      </c>
      <c r="B2438" s="469" t="s">
        <v>3951</v>
      </c>
      <c r="C2438" s="469" t="s">
        <v>173</v>
      </c>
      <c r="D2438" s="179" t="s">
        <v>442</v>
      </c>
      <c r="E2438" s="469">
        <v>1000</v>
      </c>
      <c r="F2438" s="463">
        <f t="shared" si="30"/>
        <v>1.8744037053212446</v>
      </c>
      <c r="G2438" s="464">
        <v>533.50300000000004</v>
      </c>
      <c r="H2438" s="469" t="s">
        <v>174</v>
      </c>
      <c r="I2438" s="469" t="s">
        <v>3196</v>
      </c>
      <c r="J2438" s="247" t="s">
        <v>97</v>
      </c>
      <c r="K2438" s="247" t="s">
        <v>1133</v>
      </c>
      <c r="L2438" s="247" t="s">
        <v>154</v>
      </c>
      <c r="M2438" s="414"/>
      <c r="N2438" s="414"/>
    </row>
    <row r="2439" spans="1:14" ht="15.6">
      <c r="A2439" s="476">
        <v>45916</v>
      </c>
      <c r="B2439" s="469" t="s">
        <v>3945</v>
      </c>
      <c r="C2439" s="469" t="s">
        <v>173</v>
      </c>
      <c r="D2439" s="179" t="s">
        <v>442</v>
      </c>
      <c r="E2439" s="469">
        <v>1000</v>
      </c>
      <c r="F2439" s="463">
        <f t="shared" si="30"/>
        <v>1.8744037053212446</v>
      </c>
      <c r="G2439" s="464">
        <v>533.50300000000004</v>
      </c>
      <c r="H2439" s="469" t="s">
        <v>174</v>
      </c>
      <c r="I2439" s="469" t="s">
        <v>3196</v>
      </c>
      <c r="J2439" s="247" t="s">
        <v>97</v>
      </c>
      <c r="K2439" s="247" t="s">
        <v>1133</v>
      </c>
      <c r="L2439" s="247" t="s">
        <v>154</v>
      </c>
      <c r="M2439" s="414"/>
      <c r="N2439" s="414"/>
    </row>
    <row r="2440" spans="1:14" ht="15.6">
      <c r="A2440" s="476">
        <v>45916</v>
      </c>
      <c r="B2440" s="469" t="s">
        <v>3946</v>
      </c>
      <c r="C2440" s="469" t="s">
        <v>173</v>
      </c>
      <c r="D2440" s="179" t="s">
        <v>442</v>
      </c>
      <c r="E2440" s="469">
        <v>1000</v>
      </c>
      <c r="F2440" s="463">
        <f t="shared" si="30"/>
        <v>1.8744037053212446</v>
      </c>
      <c r="G2440" s="464">
        <v>533.50300000000004</v>
      </c>
      <c r="H2440" s="469" t="s">
        <v>174</v>
      </c>
      <c r="I2440" s="469" t="s">
        <v>3196</v>
      </c>
      <c r="J2440" s="247" t="s">
        <v>97</v>
      </c>
      <c r="K2440" s="247" t="s">
        <v>1133</v>
      </c>
      <c r="L2440" s="247" t="s">
        <v>154</v>
      </c>
      <c r="M2440" s="414"/>
      <c r="N2440" s="414"/>
    </row>
    <row r="2441" spans="1:14" ht="15.6">
      <c r="A2441" s="476">
        <v>45916</v>
      </c>
      <c r="B2441" s="469" t="s">
        <v>3945</v>
      </c>
      <c r="C2441" s="469" t="s">
        <v>173</v>
      </c>
      <c r="D2441" s="179" t="s">
        <v>442</v>
      </c>
      <c r="E2441" s="469">
        <v>1000</v>
      </c>
      <c r="F2441" s="463">
        <f t="shared" si="30"/>
        <v>1.8744037053212446</v>
      </c>
      <c r="G2441" s="464">
        <v>533.50300000000004</v>
      </c>
      <c r="H2441" s="469" t="s">
        <v>174</v>
      </c>
      <c r="I2441" s="469" t="s">
        <v>3196</v>
      </c>
      <c r="J2441" s="247" t="s">
        <v>97</v>
      </c>
      <c r="K2441" s="247" t="s">
        <v>1133</v>
      </c>
      <c r="L2441" s="247" t="s">
        <v>154</v>
      </c>
      <c r="M2441" s="414"/>
      <c r="N2441" s="414"/>
    </row>
    <row r="2442" spans="1:14" ht="15.6">
      <c r="A2442" s="476">
        <v>45916</v>
      </c>
      <c r="B2442" s="469" t="s">
        <v>3946</v>
      </c>
      <c r="C2442" s="469" t="s">
        <v>173</v>
      </c>
      <c r="D2442" s="179" t="s">
        <v>442</v>
      </c>
      <c r="E2442" s="469">
        <v>1000</v>
      </c>
      <c r="F2442" s="463">
        <f t="shared" si="30"/>
        <v>1.8744037053212446</v>
      </c>
      <c r="G2442" s="464">
        <v>533.50300000000004</v>
      </c>
      <c r="H2442" s="469" t="s">
        <v>174</v>
      </c>
      <c r="I2442" s="469" t="s">
        <v>3196</v>
      </c>
      <c r="J2442" s="247" t="s">
        <v>97</v>
      </c>
      <c r="K2442" s="247" t="s">
        <v>1133</v>
      </c>
      <c r="L2442" s="247" t="s">
        <v>154</v>
      </c>
      <c r="M2442" s="414"/>
      <c r="N2442" s="414"/>
    </row>
    <row r="2443" spans="1:14" ht="15.6">
      <c r="A2443" s="476">
        <v>45916</v>
      </c>
      <c r="B2443" s="469" t="s">
        <v>3751</v>
      </c>
      <c r="C2443" s="469" t="s">
        <v>173</v>
      </c>
      <c r="D2443" s="179" t="s">
        <v>442</v>
      </c>
      <c r="E2443" s="469">
        <v>2500</v>
      </c>
      <c r="F2443" s="463">
        <f t="shared" si="30"/>
        <v>4.6860092633031112</v>
      </c>
      <c r="G2443" s="464">
        <v>533.50300000000004</v>
      </c>
      <c r="H2443" s="469" t="s">
        <v>316</v>
      </c>
      <c r="I2443" s="469" t="s">
        <v>3260</v>
      </c>
      <c r="J2443" s="247" t="s">
        <v>97</v>
      </c>
      <c r="K2443" s="247" t="s">
        <v>1133</v>
      </c>
      <c r="L2443" s="247" t="s">
        <v>154</v>
      </c>
      <c r="M2443" s="335"/>
      <c r="N2443" s="335"/>
    </row>
    <row r="2444" spans="1:14" ht="15.6">
      <c r="A2444" s="476">
        <v>45916</v>
      </c>
      <c r="B2444" s="469" t="s">
        <v>3706</v>
      </c>
      <c r="C2444" s="469" t="s">
        <v>173</v>
      </c>
      <c r="D2444" s="179" t="s">
        <v>442</v>
      </c>
      <c r="E2444" s="469">
        <v>1500</v>
      </c>
      <c r="F2444" s="463">
        <f t="shared" si="30"/>
        <v>2.8116055579818666</v>
      </c>
      <c r="G2444" s="464">
        <v>533.50300000000004</v>
      </c>
      <c r="H2444" s="469" t="s">
        <v>316</v>
      </c>
      <c r="I2444" s="469" t="s">
        <v>3260</v>
      </c>
      <c r="J2444" s="247" t="s">
        <v>97</v>
      </c>
      <c r="K2444" s="247" t="s">
        <v>1133</v>
      </c>
      <c r="L2444" s="247" t="s">
        <v>154</v>
      </c>
      <c r="M2444" s="335"/>
      <c r="N2444" s="335"/>
    </row>
    <row r="2445" spans="1:14" ht="15.6">
      <c r="A2445" s="476">
        <v>45916</v>
      </c>
      <c r="B2445" s="469" t="s">
        <v>3731</v>
      </c>
      <c r="C2445" s="469" t="s">
        <v>173</v>
      </c>
      <c r="D2445" s="179" t="s">
        <v>442</v>
      </c>
      <c r="E2445" s="469">
        <v>1500</v>
      </c>
      <c r="F2445" s="463">
        <f t="shared" si="30"/>
        <v>2.8116055579818666</v>
      </c>
      <c r="G2445" s="464">
        <v>533.50300000000004</v>
      </c>
      <c r="H2445" s="469" t="s">
        <v>316</v>
      </c>
      <c r="I2445" s="469" t="s">
        <v>3260</v>
      </c>
      <c r="J2445" s="247" t="s">
        <v>97</v>
      </c>
      <c r="K2445" s="247" t="s">
        <v>1133</v>
      </c>
      <c r="L2445" s="247" t="s">
        <v>154</v>
      </c>
      <c r="M2445" s="335"/>
      <c r="N2445" s="335"/>
    </row>
    <row r="2446" spans="1:14" ht="15.6">
      <c r="A2446" s="476">
        <v>45916</v>
      </c>
      <c r="B2446" s="469" t="s">
        <v>3732</v>
      </c>
      <c r="C2446" s="469" t="s">
        <v>173</v>
      </c>
      <c r="D2446" s="179" t="s">
        <v>442</v>
      </c>
      <c r="E2446" s="469">
        <v>2000</v>
      </c>
      <c r="F2446" s="463">
        <f t="shared" si="30"/>
        <v>3.7488074106424891</v>
      </c>
      <c r="G2446" s="464">
        <v>533.50300000000004</v>
      </c>
      <c r="H2446" s="469" t="s">
        <v>316</v>
      </c>
      <c r="I2446" s="469" t="s">
        <v>3260</v>
      </c>
      <c r="J2446" s="247" t="s">
        <v>97</v>
      </c>
      <c r="K2446" s="247" t="s">
        <v>1133</v>
      </c>
      <c r="L2446" s="247" t="s">
        <v>154</v>
      </c>
      <c r="M2446" s="335"/>
      <c r="N2446" s="335"/>
    </row>
    <row r="2447" spans="1:14" ht="15.6">
      <c r="A2447" s="476">
        <v>45916</v>
      </c>
      <c r="B2447" s="469" t="s">
        <v>3283</v>
      </c>
      <c r="C2447" s="469" t="s">
        <v>173</v>
      </c>
      <c r="D2447" s="179" t="s">
        <v>442</v>
      </c>
      <c r="E2447" s="472">
        <v>1000</v>
      </c>
      <c r="F2447" s="463">
        <f t="shared" si="30"/>
        <v>1.8744037053212446</v>
      </c>
      <c r="G2447" s="464">
        <v>533.50300000000004</v>
      </c>
      <c r="H2447" s="469" t="s">
        <v>322</v>
      </c>
      <c r="I2447" s="469" t="s">
        <v>3301</v>
      </c>
      <c r="J2447" s="247" t="s">
        <v>97</v>
      </c>
      <c r="K2447" s="247" t="s">
        <v>1133</v>
      </c>
      <c r="L2447" s="247" t="s">
        <v>154</v>
      </c>
      <c r="M2447" s="335"/>
      <c r="N2447" s="335"/>
    </row>
    <row r="2448" spans="1:14" ht="15.6">
      <c r="A2448" s="476">
        <v>45916</v>
      </c>
      <c r="B2448" s="469" t="s">
        <v>3284</v>
      </c>
      <c r="C2448" s="469" t="s">
        <v>173</v>
      </c>
      <c r="D2448" s="179" t="s">
        <v>442</v>
      </c>
      <c r="E2448" s="472">
        <v>1000</v>
      </c>
      <c r="F2448" s="463">
        <f t="shared" si="30"/>
        <v>1.8744037053212446</v>
      </c>
      <c r="G2448" s="464">
        <v>533.50300000000004</v>
      </c>
      <c r="H2448" s="469" t="s">
        <v>322</v>
      </c>
      <c r="I2448" s="469" t="s">
        <v>3301</v>
      </c>
      <c r="J2448" s="247" t="s">
        <v>97</v>
      </c>
      <c r="K2448" s="247" t="s">
        <v>1133</v>
      </c>
      <c r="L2448" s="247" t="s">
        <v>154</v>
      </c>
      <c r="M2448" s="335"/>
      <c r="N2448" s="335"/>
    </row>
    <row r="2449" spans="1:14" ht="15.6">
      <c r="A2449" s="476">
        <v>45916</v>
      </c>
      <c r="B2449" s="469" t="s">
        <v>3285</v>
      </c>
      <c r="C2449" s="469" t="s">
        <v>173</v>
      </c>
      <c r="D2449" s="179" t="s">
        <v>442</v>
      </c>
      <c r="E2449" s="472">
        <v>1000</v>
      </c>
      <c r="F2449" s="463">
        <f t="shared" si="30"/>
        <v>1.8744037053212446</v>
      </c>
      <c r="G2449" s="464">
        <v>533.50300000000004</v>
      </c>
      <c r="H2449" s="469" t="s">
        <v>322</v>
      </c>
      <c r="I2449" s="469" t="s">
        <v>3301</v>
      </c>
      <c r="J2449" s="247" t="s">
        <v>97</v>
      </c>
      <c r="K2449" s="247" t="s">
        <v>1133</v>
      </c>
      <c r="L2449" s="247" t="s">
        <v>154</v>
      </c>
      <c r="M2449" s="335"/>
      <c r="N2449" s="335"/>
    </row>
    <row r="2450" spans="1:14" ht="15.6">
      <c r="A2450" s="476">
        <v>45916</v>
      </c>
      <c r="B2450" s="469" t="s">
        <v>3495</v>
      </c>
      <c r="C2450" s="469" t="s">
        <v>173</v>
      </c>
      <c r="D2450" s="469" t="s">
        <v>116</v>
      </c>
      <c r="E2450" s="469">
        <v>1500</v>
      </c>
      <c r="F2450" s="463">
        <f t="shared" si="30"/>
        <v>2.8116055579818666</v>
      </c>
      <c r="G2450" s="464">
        <v>533.50300000000004</v>
      </c>
      <c r="H2450" s="469" t="s">
        <v>186</v>
      </c>
      <c r="I2450" s="469" t="s">
        <v>3504</v>
      </c>
      <c r="J2450" s="247" t="s">
        <v>97</v>
      </c>
      <c r="K2450" s="247" t="s">
        <v>1133</v>
      </c>
      <c r="L2450" s="247" t="s">
        <v>154</v>
      </c>
      <c r="M2450" s="76"/>
      <c r="N2450" s="76"/>
    </row>
    <row r="2451" spans="1:14" ht="15.6">
      <c r="A2451" s="476">
        <v>45916</v>
      </c>
      <c r="B2451" s="469" t="s">
        <v>3496</v>
      </c>
      <c r="C2451" s="469" t="s">
        <v>173</v>
      </c>
      <c r="D2451" s="469" t="s">
        <v>116</v>
      </c>
      <c r="E2451" s="469">
        <v>4000</v>
      </c>
      <c r="F2451" s="463">
        <f t="shared" si="30"/>
        <v>7.4976148212849782</v>
      </c>
      <c r="G2451" s="464">
        <v>533.50300000000004</v>
      </c>
      <c r="H2451" s="469" t="s">
        <v>186</v>
      </c>
      <c r="I2451" s="469" t="s">
        <v>3504</v>
      </c>
      <c r="J2451" s="247" t="s">
        <v>97</v>
      </c>
      <c r="K2451" s="247" t="s">
        <v>1133</v>
      </c>
      <c r="L2451" s="247" t="s">
        <v>154</v>
      </c>
      <c r="M2451" s="76"/>
      <c r="N2451" s="76"/>
    </row>
    <row r="2452" spans="1:14" ht="15.6">
      <c r="A2452" s="476">
        <v>45916</v>
      </c>
      <c r="B2452" s="484" t="s">
        <v>3584</v>
      </c>
      <c r="C2452" s="469" t="s">
        <v>122</v>
      </c>
      <c r="D2452" s="469" t="s">
        <v>116</v>
      </c>
      <c r="E2452" s="470">
        <v>200000</v>
      </c>
      <c r="F2452" s="463">
        <f t="shared" si="30"/>
        <v>356.54310071272965</v>
      </c>
      <c r="G2452" s="464">
        <v>560.94200000000001</v>
      </c>
      <c r="H2452" s="479" t="s">
        <v>147</v>
      </c>
      <c r="I2452" s="466" t="s">
        <v>3599</v>
      </c>
      <c r="J2452" s="247" t="s">
        <v>97</v>
      </c>
      <c r="K2452" s="247" t="s">
        <v>1903</v>
      </c>
      <c r="L2452" s="247" t="s">
        <v>154</v>
      </c>
      <c r="M2452" s="76"/>
      <c r="N2452" s="76"/>
    </row>
    <row r="2453" spans="1:14" ht="15.6">
      <c r="A2453" s="476">
        <v>45917</v>
      </c>
      <c r="B2453" s="469" t="s">
        <v>2857</v>
      </c>
      <c r="C2453" s="462" t="s">
        <v>173</v>
      </c>
      <c r="D2453" s="462" t="s">
        <v>118</v>
      </c>
      <c r="E2453" s="359">
        <v>1000</v>
      </c>
      <c r="F2453" s="463">
        <f t="shared" si="30"/>
        <v>1.8744037053212446</v>
      </c>
      <c r="G2453" s="464">
        <v>533.50300000000004</v>
      </c>
      <c r="H2453" s="465" t="s">
        <v>152</v>
      </c>
      <c r="I2453" s="469" t="s">
        <v>2868</v>
      </c>
      <c r="J2453" s="247" t="s">
        <v>97</v>
      </c>
      <c r="K2453" s="247" t="s">
        <v>1133</v>
      </c>
      <c r="L2453" s="247" t="s">
        <v>154</v>
      </c>
      <c r="M2453" s="335"/>
      <c r="N2453" s="335"/>
    </row>
    <row r="2454" spans="1:14" ht="15.6">
      <c r="A2454" s="476">
        <v>45917</v>
      </c>
      <c r="B2454" s="469" t="s">
        <v>2856</v>
      </c>
      <c r="C2454" s="462" t="s">
        <v>173</v>
      </c>
      <c r="D2454" s="462" t="s">
        <v>118</v>
      </c>
      <c r="E2454" s="359">
        <v>1000</v>
      </c>
      <c r="F2454" s="463">
        <f t="shared" si="30"/>
        <v>1.8744037053212446</v>
      </c>
      <c r="G2454" s="464">
        <v>533.50300000000004</v>
      </c>
      <c r="H2454" s="465" t="s">
        <v>152</v>
      </c>
      <c r="I2454" s="469" t="s">
        <v>2868</v>
      </c>
      <c r="J2454" s="247" t="s">
        <v>97</v>
      </c>
      <c r="K2454" s="247" t="s">
        <v>1133</v>
      </c>
      <c r="L2454" s="247" t="s">
        <v>154</v>
      </c>
      <c r="M2454" s="335"/>
      <c r="N2454" s="335"/>
    </row>
    <row r="2455" spans="1:14" ht="15.6">
      <c r="A2455" s="476">
        <v>45917</v>
      </c>
      <c r="B2455" s="359" t="s">
        <v>2858</v>
      </c>
      <c r="C2455" s="462" t="s">
        <v>151</v>
      </c>
      <c r="D2455" s="462" t="s">
        <v>118</v>
      </c>
      <c r="E2455" s="359">
        <v>12500</v>
      </c>
      <c r="F2455" s="463">
        <f t="shared" si="30"/>
        <v>23.430046316515558</v>
      </c>
      <c r="G2455" s="464">
        <v>533.50300000000004</v>
      </c>
      <c r="H2455" s="465" t="s">
        <v>152</v>
      </c>
      <c r="I2455" s="469" t="s">
        <v>2873</v>
      </c>
      <c r="J2455" s="247" t="s">
        <v>97</v>
      </c>
      <c r="K2455" s="247" t="s">
        <v>1133</v>
      </c>
      <c r="L2455" s="247" t="s">
        <v>154</v>
      </c>
      <c r="M2455" s="335"/>
      <c r="N2455" s="335"/>
    </row>
    <row r="2456" spans="1:14" ht="15.6">
      <c r="A2456" s="476">
        <v>45917</v>
      </c>
      <c r="B2456" s="469" t="s">
        <v>2113</v>
      </c>
      <c r="C2456" s="462" t="s">
        <v>173</v>
      </c>
      <c r="D2456" s="462" t="s">
        <v>118</v>
      </c>
      <c r="E2456" s="359">
        <v>1000</v>
      </c>
      <c r="F2456" s="463">
        <f t="shared" si="30"/>
        <v>1.8744037053212446</v>
      </c>
      <c r="G2456" s="464">
        <v>533.50300000000004</v>
      </c>
      <c r="H2456" s="465" t="s">
        <v>152</v>
      </c>
      <c r="I2456" s="469" t="s">
        <v>2868</v>
      </c>
      <c r="J2456" s="247" t="s">
        <v>97</v>
      </c>
      <c r="K2456" s="247" t="s">
        <v>1133</v>
      </c>
      <c r="L2456" s="247" t="s">
        <v>154</v>
      </c>
      <c r="M2456" s="414"/>
      <c r="N2456" s="414"/>
    </row>
    <row r="2457" spans="1:14" ht="15.6">
      <c r="A2457" s="474">
        <v>45917</v>
      </c>
      <c r="B2457" s="247" t="s">
        <v>2894</v>
      </c>
      <c r="C2457" s="243" t="s">
        <v>151</v>
      </c>
      <c r="D2457" s="243" t="s">
        <v>116</v>
      </c>
      <c r="E2457" s="475">
        <v>10000</v>
      </c>
      <c r="F2457" s="463">
        <f t="shared" si="30"/>
        <v>18.744037053212445</v>
      </c>
      <c r="G2457" s="464">
        <v>533.50300000000004</v>
      </c>
      <c r="H2457" s="174" t="s">
        <v>199</v>
      </c>
      <c r="I2457" s="216" t="s">
        <v>2922</v>
      </c>
      <c r="J2457" s="247" t="s">
        <v>97</v>
      </c>
      <c r="K2457" s="247" t="s">
        <v>1133</v>
      </c>
      <c r="L2457" s="247" t="s">
        <v>154</v>
      </c>
      <c r="M2457" s="414"/>
      <c r="N2457" s="414"/>
    </row>
    <row r="2458" spans="1:14" ht="15.6">
      <c r="A2458" s="471">
        <v>45917</v>
      </c>
      <c r="B2458" s="247" t="s">
        <v>2895</v>
      </c>
      <c r="C2458" s="469" t="s">
        <v>264</v>
      </c>
      <c r="D2458" s="174" t="s">
        <v>2088</v>
      </c>
      <c r="E2458" s="483">
        <v>35000</v>
      </c>
      <c r="F2458" s="463">
        <f t="shared" si="30"/>
        <v>62.395042624727687</v>
      </c>
      <c r="G2458" s="464">
        <v>560.94200000000001</v>
      </c>
      <c r="H2458" s="174" t="s">
        <v>199</v>
      </c>
      <c r="I2458" s="247" t="s">
        <v>2923</v>
      </c>
      <c r="J2458" s="247" t="s">
        <v>97</v>
      </c>
      <c r="K2458" s="247" t="s">
        <v>1903</v>
      </c>
      <c r="L2458" s="247" t="s">
        <v>154</v>
      </c>
      <c r="M2458" s="414"/>
      <c r="N2458" s="414"/>
    </row>
    <row r="2459" spans="1:14" ht="15.6">
      <c r="A2459" s="467">
        <v>45917</v>
      </c>
      <c r="B2459" s="469" t="s">
        <v>2943</v>
      </c>
      <c r="C2459" s="469" t="s">
        <v>173</v>
      </c>
      <c r="D2459" s="469" t="s">
        <v>117</v>
      </c>
      <c r="E2459" s="470">
        <v>1000</v>
      </c>
      <c r="F2459" s="463">
        <f t="shared" si="30"/>
        <v>1.8744037053212446</v>
      </c>
      <c r="G2459" s="464">
        <v>533.50300000000004</v>
      </c>
      <c r="H2459" s="469" t="s">
        <v>583</v>
      </c>
      <c r="I2459" s="469" t="s">
        <v>2970</v>
      </c>
      <c r="J2459" s="247" t="s">
        <v>97</v>
      </c>
      <c r="K2459" s="247" t="s">
        <v>1133</v>
      </c>
      <c r="L2459" s="247" t="s">
        <v>154</v>
      </c>
      <c r="M2459" s="414"/>
      <c r="N2459" s="414"/>
    </row>
    <row r="2460" spans="1:14" ht="15.6">
      <c r="A2460" s="467">
        <v>45917</v>
      </c>
      <c r="B2460" s="469" t="s">
        <v>2930</v>
      </c>
      <c r="C2460" s="469" t="s">
        <v>173</v>
      </c>
      <c r="D2460" s="469" t="s">
        <v>117</v>
      </c>
      <c r="E2460" s="470">
        <v>1000</v>
      </c>
      <c r="F2460" s="463">
        <f t="shared" si="30"/>
        <v>1.8744037053212446</v>
      </c>
      <c r="G2460" s="464">
        <v>533.50300000000004</v>
      </c>
      <c r="H2460" s="469" t="s">
        <v>583</v>
      </c>
      <c r="I2460" s="469" t="s">
        <v>2970</v>
      </c>
      <c r="J2460" s="247" t="s">
        <v>97</v>
      </c>
      <c r="K2460" s="247" t="s">
        <v>1133</v>
      </c>
      <c r="L2460" s="247" t="s">
        <v>154</v>
      </c>
      <c r="M2460" s="414"/>
      <c r="N2460" s="414"/>
    </row>
    <row r="2461" spans="1:14" ht="15.6">
      <c r="A2461" s="467">
        <v>45917</v>
      </c>
      <c r="B2461" s="469" t="s">
        <v>2944</v>
      </c>
      <c r="C2461" s="472" t="s">
        <v>151</v>
      </c>
      <c r="D2461" s="469" t="s">
        <v>118</v>
      </c>
      <c r="E2461" s="470">
        <v>7500</v>
      </c>
      <c r="F2461" s="463">
        <f t="shared" si="30"/>
        <v>14.058027789909334</v>
      </c>
      <c r="G2461" s="464">
        <v>533.50300000000004</v>
      </c>
      <c r="H2461" s="469" t="s">
        <v>583</v>
      </c>
      <c r="I2461" s="469" t="s">
        <v>2977</v>
      </c>
      <c r="J2461" s="247" t="s">
        <v>97</v>
      </c>
      <c r="K2461" s="247" t="s">
        <v>1133</v>
      </c>
      <c r="L2461" s="247" t="s">
        <v>154</v>
      </c>
      <c r="M2461" s="414"/>
      <c r="N2461" s="414"/>
    </row>
    <row r="2462" spans="1:14" ht="15.6">
      <c r="A2462" s="474">
        <v>45917</v>
      </c>
      <c r="B2462" s="475" t="s">
        <v>3840</v>
      </c>
      <c r="C2462" s="475" t="s">
        <v>173</v>
      </c>
      <c r="D2462" s="179" t="s">
        <v>442</v>
      </c>
      <c r="E2462" s="475">
        <v>1000</v>
      </c>
      <c r="F2462" s="463">
        <f t="shared" si="30"/>
        <v>1.8744037053212446</v>
      </c>
      <c r="G2462" s="464">
        <v>533.50300000000004</v>
      </c>
      <c r="H2462" s="475" t="s">
        <v>183</v>
      </c>
      <c r="I2462" s="475" t="s">
        <v>3086</v>
      </c>
      <c r="J2462" s="247" t="s">
        <v>97</v>
      </c>
      <c r="K2462" s="247" t="s">
        <v>1133</v>
      </c>
      <c r="L2462" s="247" t="s">
        <v>154</v>
      </c>
      <c r="M2462" s="414"/>
      <c r="N2462" s="414"/>
    </row>
    <row r="2463" spans="1:14" ht="15.6">
      <c r="A2463" s="474">
        <v>45917</v>
      </c>
      <c r="B2463" s="475" t="s">
        <v>3840</v>
      </c>
      <c r="C2463" s="475" t="s">
        <v>173</v>
      </c>
      <c r="D2463" s="179" t="s">
        <v>442</v>
      </c>
      <c r="E2463" s="475">
        <v>1000</v>
      </c>
      <c r="F2463" s="463">
        <f t="shared" si="30"/>
        <v>1.8744037053212446</v>
      </c>
      <c r="G2463" s="464">
        <v>533.50300000000004</v>
      </c>
      <c r="H2463" s="475" t="s">
        <v>183</v>
      </c>
      <c r="I2463" s="475" t="s">
        <v>3086</v>
      </c>
      <c r="J2463" s="247" t="s">
        <v>97</v>
      </c>
      <c r="K2463" s="247" t="s">
        <v>1133</v>
      </c>
      <c r="L2463" s="247" t="s">
        <v>154</v>
      </c>
      <c r="M2463" s="335"/>
      <c r="N2463" s="335"/>
    </row>
    <row r="2464" spans="1:14" ht="15.6">
      <c r="A2464" s="474">
        <v>45917</v>
      </c>
      <c r="B2464" s="475" t="s">
        <v>3852</v>
      </c>
      <c r="C2464" s="475" t="s">
        <v>173</v>
      </c>
      <c r="D2464" s="179" t="s">
        <v>442</v>
      </c>
      <c r="E2464" s="475">
        <v>1000</v>
      </c>
      <c r="F2464" s="463">
        <f t="shared" si="30"/>
        <v>1.8744037053212446</v>
      </c>
      <c r="G2464" s="464">
        <v>533.50300000000004</v>
      </c>
      <c r="H2464" s="475" t="s">
        <v>183</v>
      </c>
      <c r="I2464" s="475" t="s">
        <v>3086</v>
      </c>
      <c r="J2464" s="247" t="s">
        <v>97</v>
      </c>
      <c r="K2464" s="247" t="s">
        <v>1133</v>
      </c>
      <c r="L2464" s="247" t="s">
        <v>154</v>
      </c>
      <c r="M2464" s="335"/>
      <c r="N2464" s="335"/>
    </row>
    <row r="2465" spans="1:14" ht="15.6">
      <c r="A2465" s="474">
        <v>45917</v>
      </c>
      <c r="B2465" s="475" t="s">
        <v>3842</v>
      </c>
      <c r="C2465" s="475" t="s">
        <v>173</v>
      </c>
      <c r="D2465" s="179" t="s">
        <v>442</v>
      </c>
      <c r="E2465" s="475">
        <v>1000</v>
      </c>
      <c r="F2465" s="463">
        <f t="shared" si="30"/>
        <v>1.8744037053212446</v>
      </c>
      <c r="G2465" s="464">
        <v>533.50300000000004</v>
      </c>
      <c r="H2465" s="475" t="s">
        <v>183</v>
      </c>
      <c r="I2465" s="475" t="s">
        <v>3086</v>
      </c>
      <c r="J2465" s="247" t="s">
        <v>97</v>
      </c>
      <c r="K2465" s="247" t="s">
        <v>1133</v>
      </c>
      <c r="L2465" s="247" t="s">
        <v>154</v>
      </c>
      <c r="M2465" s="335"/>
      <c r="N2465" s="335"/>
    </row>
    <row r="2466" spans="1:14" ht="15.6">
      <c r="A2466" s="474">
        <v>45917</v>
      </c>
      <c r="B2466" s="475" t="s">
        <v>3782</v>
      </c>
      <c r="C2466" s="475" t="s">
        <v>173</v>
      </c>
      <c r="D2466" s="179" t="s">
        <v>442</v>
      </c>
      <c r="E2466" s="475">
        <v>1000</v>
      </c>
      <c r="F2466" s="463">
        <f t="shared" si="30"/>
        <v>1.8744037053212446</v>
      </c>
      <c r="G2466" s="464">
        <v>533.50300000000004</v>
      </c>
      <c r="H2466" s="475" t="s">
        <v>183</v>
      </c>
      <c r="I2466" s="475" t="s">
        <v>3086</v>
      </c>
      <c r="J2466" s="247" t="s">
        <v>97</v>
      </c>
      <c r="K2466" s="247" t="s">
        <v>1133</v>
      </c>
      <c r="L2466" s="247" t="s">
        <v>154</v>
      </c>
      <c r="M2466" s="335"/>
      <c r="N2466" s="335"/>
    </row>
    <row r="2467" spans="1:14" ht="15.6">
      <c r="A2467" s="474">
        <v>45917</v>
      </c>
      <c r="B2467" s="475" t="s">
        <v>3062</v>
      </c>
      <c r="C2467" s="475" t="s">
        <v>368</v>
      </c>
      <c r="D2467" s="179" t="s">
        <v>442</v>
      </c>
      <c r="E2467" s="475">
        <v>1000</v>
      </c>
      <c r="F2467" s="463">
        <f t="shared" si="30"/>
        <v>1.8744037053212446</v>
      </c>
      <c r="G2467" s="464">
        <v>533.50300000000004</v>
      </c>
      <c r="H2467" s="475" t="s">
        <v>183</v>
      </c>
      <c r="I2467" s="475" t="s">
        <v>3092</v>
      </c>
      <c r="J2467" s="247" t="s">
        <v>97</v>
      </c>
      <c r="K2467" s="247" t="s">
        <v>1133</v>
      </c>
      <c r="L2467" s="247" t="s">
        <v>154</v>
      </c>
      <c r="M2467" s="414"/>
      <c r="N2467" s="414"/>
    </row>
    <row r="2468" spans="1:14" ht="15.6">
      <c r="A2468" s="474">
        <v>45917</v>
      </c>
      <c r="B2468" s="339" t="s">
        <v>3063</v>
      </c>
      <c r="C2468" s="339" t="s">
        <v>151</v>
      </c>
      <c r="D2468" s="179" t="s">
        <v>442</v>
      </c>
      <c r="E2468" s="475">
        <v>10000</v>
      </c>
      <c r="F2468" s="463">
        <f t="shared" si="30"/>
        <v>18.744037053212445</v>
      </c>
      <c r="G2468" s="464">
        <v>533.50300000000004</v>
      </c>
      <c r="H2468" s="475" t="s">
        <v>183</v>
      </c>
      <c r="I2468" s="475" t="s">
        <v>3102</v>
      </c>
      <c r="J2468" s="247" t="s">
        <v>97</v>
      </c>
      <c r="K2468" s="247" t="s">
        <v>1133</v>
      </c>
      <c r="L2468" s="247" t="s">
        <v>154</v>
      </c>
      <c r="M2468" s="414"/>
      <c r="N2468" s="414"/>
    </row>
    <row r="2469" spans="1:14" ht="15.6">
      <c r="A2469" s="476">
        <v>45917</v>
      </c>
      <c r="B2469" s="469" t="s">
        <v>3899</v>
      </c>
      <c r="C2469" s="469" t="s">
        <v>173</v>
      </c>
      <c r="D2469" s="179" t="s">
        <v>442</v>
      </c>
      <c r="E2469" s="469">
        <v>1000</v>
      </c>
      <c r="F2469" s="463">
        <f t="shared" si="30"/>
        <v>1.8744037053212446</v>
      </c>
      <c r="G2469" s="464">
        <v>533.50300000000004</v>
      </c>
      <c r="H2469" s="469" t="s">
        <v>174</v>
      </c>
      <c r="I2469" s="469" t="s">
        <v>3196</v>
      </c>
      <c r="J2469" s="247" t="s">
        <v>97</v>
      </c>
      <c r="K2469" s="247" t="s">
        <v>1133</v>
      </c>
      <c r="L2469" s="247" t="s">
        <v>154</v>
      </c>
      <c r="M2469" s="414"/>
      <c r="N2469" s="414"/>
    </row>
    <row r="2470" spans="1:14" ht="15.6">
      <c r="A2470" s="476">
        <v>45917</v>
      </c>
      <c r="B2470" s="469" t="s">
        <v>3874</v>
      </c>
      <c r="C2470" s="469" t="s">
        <v>173</v>
      </c>
      <c r="D2470" s="179" t="s">
        <v>442</v>
      </c>
      <c r="E2470" s="469">
        <v>6000</v>
      </c>
      <c r="F2470" s="463">
        <f t="shared" ref="F2470:F2533" si="31">E2470/G2470</f>
        <v>11.246422231927466</v>
      </c>
      <c r="G2470" s="464">
        <v>533.50300000000004</v>
      </c>
      <c r="H2470" s="469" t="s">
        <v>174</v>
      </c>
      <c r="I2470" s="469" t="s">
        <v>3208</v>
      </c>
      <c r="J2470" s="247" t="s">
        <v>97</v>
      </c>
      <c r="K2470" s="247" t="s">
        <v>1133</v>
      </c>
      <c r="L2470" s="247" t="s">
        <v>154</v>
      </c>
      <c r="M2470" s="414"/>
      <c r="N2470" s="414"/>
    </row>
    <row r="2471" spans="1:14" ht="15.6">
      <c r="A2471" s="476">
        <v>45917</v>
      </c>
      <c r="B2471" s="469" t="s">
        <v>3952</v>
      </c>
      <c r="C2471" s="469" t="s">
        <v>173</v>
      </c>
      <c r="D2471" s="179" t="s">
        <v>442</v>
      </c>
      <c r="E2471" s="469">
        <v>1000</v>
      </c>
      <c r="F2471" s="463">
        <f t="shared" si="31"/>
        <v>1.8744037053212446</v>
      </c>
      <c r="G2471" s="464">
        <v>533.50300000000004</v>
      </c>
      <c r="H2471" s="469" t="s">
        <v>174</v>
      </c>
      <c r="I2471" s="469" t="s">
        <v>3196</v>
      </c>
      <c r="J2471" s="247" t="s">
        <v>97</v>
      </c>
      <c r="K2471" s="247" t="s">
        <v>1133</v>
      </c>
      <c r="L2471" s="247" t="s">
        <v>154</v>
      </c>
      <c r="M2471" s="414"/>
      <c r="N2471" s="414"/>
    </row>
    <row r="2472" spans="1:14" ht="15.6">
      <c r="A2472" s="476">
        <v>45917</v>
      </c>
      <c r="B2472" s="469" t="s">
        <v>3953</v>
      </c>
      <c r="C2472" s="469" t="s">
        <v>173</v>
      </c>
      <c r="D2472" s="179" t="s">
        <v>442</v>
      </c>
      <c r="E2472" s="469">
        <v>1000</v>
      </c>
      <c r="F2472" s="463">
        <f t="shared" si="31"/>
        <v>1.8744037053212446</v>
      </c>
      <c r="G2472" s="464">
        <v>533.50300000000004</v>
      </c>
      <c r="H2472" s="469" t="s">
        <v>174</v>
      </c>
      <c r="I2472" s="469" t="s">
        <v>3196</v>
      </c>
      <c r="J2472" s="247" t="s">
        <v>97</v>
      </c>
      <c r="K2472" s="247" t="s">
        <v>1133</v>
      </c>
      <c r="L2472" s="247" t="s">
        <v>154</v>
      </c>
      <c r="M2472" s="414"/>
      <c r="N2472" s="414"/>
    </row>
    <row r="2473" spans="1:14" ht="15.6">
      <c r="A2473" s="476">
        <v>45917</v>
      </c>
      <c r="B2473" s="469" t="s">
        <v>3872</v>
      </c>
      <c r="C2473" s="469" t="s">
        <v>1007</v>
      </c>
      <c r="D2473" s="179" t="s">
        <v>442</v>
      </c>
      <c r="E2473" s="469">
        <v>6000</v>
      </c>
      <c r="F2473" s="463">
        <f t="shared" si="31"/>
        <v>11.246422231927466</v>
      </c>
      <c r="G2473" s="464">
        <v>533.50300000000004</v>
      </c>
      <c r="H2473" s="469" t="s">
        <v>174</v>
      </c>
      <c r="I2473" s="469" t="s">
        <v>3209</v>
      </c>
      <c r="J2473" s="247" t="s">
        <v>97</v>
      </c>
      <c r="K2473" s="247" t="s">
        <v>1133</v>
      </c>
      <c r="L2473" s="247" t="s">
        <v>154</v>
      </c>
      <c r="M2473" s="414"/>
      <c r="N2473" s="414"/>
    </row>
    <row r="2474" spans="1:14" ht="15.6">
      <c r="A2474" s="476">
        <v>45917</v>
      </c>
      <c r="B2474" s="469" t="s">
        <v>3118</v>
      </c>
      <c r="C2474" s="469" t="s">
        <v>368</v>
      </c>
      <c r="D2474" s="179" t="s">
        <v>442</v>
      </c>
      <c r="E2474" s="469">
        <v>1500</v>
      </c>
      <c r="F2474" s="463">
        <f t="shared" si="31"/>
        <v>2.8116055579818666</v>
      </c>
      <c r="G2474" s="464">
        <v>533.50300000000004</v>
      </c>
      <c r="H2474" s="469" t="s">
        <v>174</v>
      </c>
      <c r="I2474" s="469" t="s">
        <v>3201</v>
      </c>
      <c r="J2474" s="247" t="s">
        <v>97</v>
      </c>
      <c r="K2474" s="247" t="s">
        <v>1133</v>
      </c>
      <c r="L2474" s="247" t="s">
        <v>154</v>
      </c>
      <c r="M2474" s="414"/>
      <c r="N2474" s="414"/>
    </row>
    <row r="2475" spans="1:14" ht="15.6">
      <c r="A2475" s="476">
        <v>45917</v>
      </c>
      <c r="B2475" s="339" t="s">
        <v>3159</v>
      </c>
      <c r="C2475" s="339" t="s">
        <v>151</v>
      </c>
      <c r="D2475" s="179" t="s">
        <v>442</v>
      </c>
      <c r="E2475" s="469">
        <v>10000</v>
      </c>
      <c r="F2475" s="463">
        <f t="shared" si="31"/>
        <v>18.744037053212445</v>
      </c>
      <c r="G2475" s="464">
        <v>533.50300000000004</v>
      </c>
      <c r="H2475" s="469" t="s">
        <v>174</v>
      </c>
      <c r="I2475" s="469" t="s">
        <v>3210</v>
      </c>
      <c r="J2475" s="247" t="s">
        <v>97</v>
      </c>
      <c r="K2475" s="247" t="s">
        <v>1133</v>
      </c>
      <c r="L2475" s="247" t="s">
        <v>154</v>
      </c>
      <c r="M2475" s="414"/>
      <c r="N2475" s="414"/>
    </row>
    <row r="2476" spans="1:14" ht="15.6">
      <c r="A2476" s="476">
        <v>45917</v>
      </c>
      <c r="B2476" s="469" t="s">
        <v>3706</v>
      </c>
      <c r="C2476" s="469" t="s">
        <v>173</v>
      </c>
      <c r="D2476" s="179" t="s">
        <v>442</v>
      </c>
      <c r="E2476" s="469">
        <v>2000</v>
      </c>
      <c r="F2476" s="463">
        <f t="shared" si="31"/>
        <v>3.7488074106424891</v>
      </c>
      <c r="G2476" s="464">
        <v>533.50300000000004</v>
      </c>
      <c r="H2476" s="469" t="s">
        <v>316</v>
      </c>
      <c r="I2476" s="469" t="s">
        <v>3260</v>
      </c>
      <c r="J2476" s="247" t="s">
        <v>97</v>
      </c>
      <c r="K2476" s="247" t="s">
        <v>1133</v>
      </c>
      <c r="L2476" s="247" t="s">
        <v>154</v>
      </c>
      <c r="M2476" s="335"/>
      <c r="N2476" s="335"/>
    </row>
    <row r="2477" spans="1:14" ht="15.6">
      <c r="A2477" s="476">
        <v>45917</v>
      </c>
      <c r="B2477" s="469" t="s">
        <v>3731</v>
      </c>
      <c r="C2477" s="469" t="s">
        <v>173</v>
      </c>
      <c r="D2477" s="179" t="s">
        <v>442</v>
      </c>
      <c r="E2477" s="469">
        <v>1000</v>
      </c>
      <c r="F2477" s="463">
        <f t="shared" si="31"/>
        <v>1.8744037053212446</v>
      </c>
      <c r="G2477" s="464">
        <v>533.50300000000004</v>
      </c>
      <c r="H2477" s="469" t="s">
        <v>316</v>
      </c>
      <c r="I2477" s="469" t="s">
        <v>3260</v>
      </c>
      <c r="J2477" s="247" t="s">
        <v>97</v>
      </c>
      <c r="K2477" s="247" t="s">
        <v>1133</v>
      </c>
      <c r="L2477" s="247" t="s">
        <v>154</v>
      </c>
      <c r="M2477" s="335"/>
      <c r="N2477" s="335"/>
    </row>
    <row r="2478" spans="1:14" ht="15.6">
      <c r="A2478" s="476">
        <v>45917</v>
      </c>
      <c r="B2478" s="469" t="s">
        <v>3752</v>
      </c>
      <c r="C2478" s="469" t="s">
        <v>173</v>
      </c>
      <c r="D2478" s="179" t="s">
        <v>442</v>
      </c>
      <c r="E2478" s="469">
        <v>1500</v>
      </c>
      <c r="F2478" s="463">
        <f t="shared" si="31"/>
        <v>2.8116055579818666</v>
      </c>
      <c r="G2478" s="464">
        <v>533.50300000000004</v>
      </c>
      <c r="H2478" s="469" t="s">
        <v>316</v>
      </c>
      <c r="I2478" s="469" t="s">
        <v>3260</v>
      </c>
      <c r="J2478" s="247" t="s">
        <v>97</v>
      </c>
      <c r="K2478" s="247" t="s">
        <v>1133</v>
      </c>
      <c r="L2478" s="247" t="s">
        <v>154</v>
      </c>
      <c r="M2478" s="335"/>
      <c r="N2478" s="335"/>
    </row>
    <row r="2479" spans="1:14" ht="15.6">
      <c r="A2479" s="476">
        <v>45917</v>
      </c>
      <c r="B2479" s="469" t="s">
        <v>3248</v>
      </c>
      <c r="C2479" s="469" t="s">
        <v>151</v>
      </c>
      <c r="D2479" s="179" t="s">
        <v>442</v>
      </c>
      <c r="E2479" s="469">
        <v>10000</v>
      </c>
      <c r="F2479" s="463">
        <f t="shared" si="31"/>
        <v>18.744037053212445</v>
      </c>
      <c r="G2479" s="464">
        <v>533.50300000000004</v>
      </c>
      <c r="H2479" s="469" t="s">
        <v>316</v>
      </c>
      <c r="I2479" s="247" t="s">
        <v>3272</v>
      </c>
      <c r="J2479" s="247" t="s">
        <v>97</v>
      </c>
      <c r="K2479" s="247" t="s">
        <v>1133</v>
      </c>
      <c r="L2479" s="247" t="s">
        <v>154</v>
      </c>
      <c r="M2479" s="335"/>
      <c r="N2479" s="335"/>
    </row>
    <row r="2480" spans="1:14" ht="15.6">
      <c r="A2480" s="476">
        <v>45917</v>
      </c>
      <c r="B2480" s="469" t="s">
        <v>3286</v>
      </c>
      <c r="C2480" s="469" t="s">
        <v>173</v>
      </c>
      <c r="D2480" s="179" t="s">
        <v>442</v>
      </c>
      <c r="E2480" s="472">
        <v>1500</v>
      </c>
      <c r="F2480" s="463">
        <f t="shared" si="31"/>
        <v>2.8116055579818666</v>
      </c>
      <c r="G2480" s="464">
        <v>533.50300000000004</v>
      </c>
      <c r="H2480" s="469" t="s">
        <v>322</v>
      </c>
      <c r="I2480" s="469" t="s">
        <v>3301</v>
      </c>
      <c r="J2480" s="247" t="s">
        <v>97</v>
      </c>
      <c r="K2480" s="247" t="s">
        <v>1133</v>
      </c>
      <c r="L2480" s="247" t="s">
        <v>154</v>
      </c>
      <c r="M2480" s="335"/>
      <c r="N2480" s="335"/>
    </row>
    <row r="2481" spans="1:14" ht="15.6">
      <c r="A2481" s="476">
        <v>45917</v>
      </c>
      <c r="B2481" s="469" t="s">
        <v>3287</v>
      </c>
      <c r="C2481" s="469" t="s">
        <v>173</v>
      </c>
      <c r="D2481" s="179" t="s">
        <v>442</v>
      </c>
      <c r="E2481" s="472">
        <v>1500</v>
      </c>
      <c r="F2481" s="463">
        <f t="shared" si="31"/>
        <v>2.8116055579818666</v>
      </c>
      <c r="G2481" s="464">
        <v>533.50300000000004</v>
      </c>
      <c r="H2481" s="469" t="s">
        <v>322</v>
      </c>
      <c r="I2481" s="469" t="s">
        <v>3301</v>
      </c>
      <c r="J2481" s="247" t="s">
        <v>97</v>
      </c>
      <c r="K2481" s="247" t="s">
        <v>1133</v>
      </c>
      <c r="L2481" s="247" t="s">
        <v>154</v>
      </c>
      <c r="M2481" s="335"/>
      <c r="N2481" s="335"/>
    </row>
    <row r="2482" spans="1:14" ht="15.6">
      <c r="A2482" s="476">
        <v>45917</v>
      </c>
      <c r="B2482" s="469" t="s">
        <v>3288</v>
      </c>
      <c r="C2482" s="469" t="s">
        <v>173</v>
      </c>
      <c r="D2482" s="179" t="s">
        <v>442</v>
      </c>
      <c r="E2482" s="472">
        <v>2000</v>
      </c>
      <c r="F2482" s="463">
        <f t="shared" si="31"/>
        <v>3.7488074106424891</v>
      </c>
      <c r="G2482" s="464">
        <v>533.50300000000004</v>
      </c>
      <c r="H2482" s="469" t="s">
        <v>322</v>
      </c>
      <c r="I2482" s="469" t="s">
        <v>3301</v>
      </c>
      <c r="J2482" s="247" t="s">
        <v>97</v>
      </c>
      <c r="K2482" s="247" t="s">
        <v>1133</v>
      </c>
      <c r="L2482" s="247" t="s">
        <v>154</v>
      </c>
      <c r="M2482" s="335"/>
      <c r="N2482" s="335"/>
    </row>
    <row r="2483" spans="1:14" ht="15.6">
      <c r="A2483" s="476">
        <v>45917</v>
      </c>
      <c r="B2483" s="469" t="s">
        <v>3289</v>
      </c>
      <c r="C2483" s="469" t="s">
        <v>151</v>
      </c>
      <c r="D2483" s="179" t="s">
        <v>442</v>
      </c>
      <c r="E2483" s="472">
        <v>10000</v>
      </c>
      <c r="F2483" s="463">
        <f t="shared" si="31"/>
        <v>18.744037053212445</v>
      </c>
      <c r="G2483" s="464">
        <v>533.50300000000004</v>
      </c>
      <c r="H2483" s="469" t="s">
        <v>322</v>
      </c>
      <c r="I2483" s="469" t="s">
        <v>3302</v>
      </c>
      <c r="J2483" s="247" t="s">
        <v>97</v>
      </c>
      <c r="K2483" s="247" t="s">
        <v>1133</v>
      </c>
      <c r="L2483" s="247" t="s">
        <v>154</v>
      </c>
      <c r="M2483" s="335"/>
      <c r="N2483" s="335"/>
    </row>
    <row r="2484" spans="1:14" ht="15.6">
      <c r="A2484" s="476">
        <v>45917</v>
      </c>
      <c r="B2484" s="469" t="s">
        <v>3316</v>
      </c>
      <c r="C2484" s="469" t="s">
        <v>151</v>
      </c>
      <c r="D2484" s="469" t="s">
        <v>116</v>
      </c>
      <c r="E2484" s="470">
        <v>7500</v>
      </c>
      <c r="F2484" s="463">
        <f t="shared" si="31"/>
        <v>14.058027789909334</v>
      </c>
      <c r="G2484" s="464">
        <v>533.50300000000004</v>
      </c>
      <c r="H2484" s="469" t="s">
        <v>189</v>
      </c>
      <c r="I2484" s="247" t="s">
        <v>3330</v>
      </c>
      <c r="J2484" s="247" t="s">
        <v>97</v>
      </c>
      <c r="K2484" s="247" t="s">
        <v>1133</v>
      </c>
      <c r="L2484" s="247" t="s">
        <v>154</v>
      </c>
      <c r="M2484" s="335"/>
      <c r="N2484" s="335"/>
    </row>
    <row r="2485" spans="1:14" ht="15.6">
      <c r="A2485" s="471">
        <v>45917</v>
      </c>
      <c r="B2485" s="469" t="s">
        <v>3353</v>
      </c>
      <c r="C2485" s="469" t="s">
        <v>151</v>
      </c>
      <c r="D2485" s="247" t="s">
        <v>116</v>
      </c>
      <c r="E2485" s="482">
        <v>7500</v>
      </c>
      <c r="F2485" s="463">
        <f t="shared" si="31"/>
        <v>14.058027789909334</v>
      </c>
      <c r="G2485" s="464">
        <v>533.50300000000004</v>
      </c>
      <c r="H2485" s="247" t="s">
        <v>192</v>
      </c>
      <c r="I2485" s="469" t="s">
        <v>3371</v>
      </c>
      <c r="J2485" s="247" t="s">
        <v>97</v>
      </c>
      <c r="K2485" s="247" t="s">
        <v>1133</v>
      </c>
      <c r="L2485" s="247" t="s">
        <v>154</v>
      </c>
      <c r="M2485" s="76"/>
      <c r="N2485" s="76"/>
    </row>
    <row r="2486" spans="1:14" ht="15.6">
      <c r="A2486" s="461">
        <v>45917</v>
      </c>
      <c r="B2486" s="247" t="s">
        <v>3402</v>
      </c>
      <c r="C2486" s="243" t="s">
        <v>151</v>
      </c>
      <c r="D2486" s="243" t="s">
        <v>116</v>
      </c>
      <c r="E2486" s="478">
        <v>10000</v>
      </c>
      <c r="F2486" s="463">
        <f t="shared" si="31"/>
        <v>18.744037053212445</v>
      </c>
      <c r="G2486" s="464">
        <v>533.50300000000004</v>
      </c>
      <c r="H2486" s="256" t="s">
        <v>196</v>
      </c>
      <c r="I2486" s="469" t="s">
        <v>3423</v>
      </c>
      <c r="J2486" s="247" t="s">
        <v>97</v>
      </c>
      <c r="K2486" s="247" t="s">
        <v>1133</v>
      </c>
      <c r="L2486" s="247" t="s">
        <v>154</v>
      </c>
      <c r="M2486" s="76"/>
      <c r="N2486" s="76"/>
    </row>
    <row r="2487" spans="1:14" ht="15.6">
      <c r="A2487" s="476">
        <v>45917</v>
      </c>
      <c r="B2487" s="247" t="s">
        <v>3464</v>
      </c>
      <c r="C2487" s="243" t="s">
        <v>151</v>
      </c>
      <c r="D2487" s="469" t="s">
        <v>119</v>
      </c>
      <c r="E2487" s="472">
        <v>10000</v>
      </c>
      <c r="F2487" s="463">
        <f t="shared" si="31"/>
        <v>18.744037053212445</v>
      </c>
      <c r="G2487" s="464">
        <v>533.50300000000004</v>
      </c>
      <c r="H2487" s="469" t="s">
        <v>212</v>
      </c>
      <c r="I2487" s="469" t="s">
        <v>3481</v>
      </c>
      <c r="J2487" s="247" t="s">
        <v>97</v>
      </c>
      <c r="K2487" s="247" t="s">
        <v>1133</v>
      </c>
      <c r="L2487" s="247" t="s">
        <v>154</v>
      </c>
      <c r="M2487" s="76"/>
      <c r="N2487" s="76"/>
    </row>
    <row r="2488" spans="1:14" ht="15.6">
      <c r="A2488" s="476">
        <v>45917</v>
      </c>
      <c r="B2488" s="469" t="s">
        <v>3497</v>
      </c>
      <c r="C2488" s="469" t="s">
        <v>151</v>
      </c>
      <c r="D2488" s="469" t="s">
        <v>116</v>
      </c>
      <c r="E2488" s="469">
        <v>7500</v>
      </c>
      <c r="F2488" s="463">
        <f t="shared" si="31"/>
        <v>14.058027789909334</v>
      </c>
      <c r="G2488" s="464">
        <v>533.50300000000004</v>
      </c>
      <c r="H2488" s="469" t="s">
        <v>186</v>
      </c>
      <c r="I2488" s="469" t="s">
        <v>3510</v>
      </c>
      <c r="J2488" s="247" t="s">
        <v>97</v>
      </c>
      <c r="K2488" s="247" t="s">
        <v>1133</v>
      </c>
      <c r="L2488" s="247" t="s">
        <v>154</v>
      </c>
      <c r="M2488" s="76"/>
      <c r="N2488" s="76"/>
    </row>
    <row r="2489" spans="1:14" ht="15.6">
      <c r="A2489" s="476">
        <v>45918</v>
      </c>
      <c r="B2489" s="469" t="s">
        <v>2100</v>
      </c>
      <c r="C2489" s="462" t="s">
        <v>173</v>
      </c>
      <c r="D2489" s="462" t="s">
        <v>118</v>
      </c>
      <c r="E2489" s="359">
        <v>1000</v>
      </c>
      <c r="F2489" s="463">
        <f t="shared" si="31"/>
        <v>1.8744037053212446</v>
      </c>
      <c r="G2489" s="464">
        <v>533.50300000000004</v>
      </c>
      <c r="H2489" s="465" t="s">
        <v>152</v>
      </c>
      <c r="I2489" s="469" t="s">
        <v>2868</v>
      </c>
      <c r="J2489" s="247" t="s">
        <v>97</v>
      </c>
      <c r="K2489" s="247" t="s">
        <v>1133</v>
      </c>
      <c r="L2489" s="247" t="s">
        <v>154</v>
      </c>
      <c r="M2489" s="414"/>
      <c r="N2489" s="414"/>
    </row>
    <row r="2490" spans="1:14" ht="15.6">
      <c r="A2490" s="476">
        <v>45918</v>
      </c>
      <c r="B2490" s="469" t="s">
        <v>2101</v>
      </c>
      <c r="C2490" s="462" t="s">
        <v>173</v>
      </c>
      <c r="D2490" s="462" t="s">
        <v>118</v>
      </c>
      <c r="E2490" s="359">
        <v>1000</v>
      </c>
      <c r="F2490" s="463">
        <f t="shared" si="31"/>
        <v>1.8744037053212446</v>
      </c>
      <c r="G2490" s="464">
        <v>533.50300000000004</v>
      </c>
      <c r="H2490" s="465" t="s">
        <v>152</v>
      </c>
      <c r="I2490" s="469" t="s">
        <v>2868</v>
      </c>
      <c r="J2490" s="247" t="s">
        <v>97</v>
      </c>
      <c r="K2490" s="247" t="s">
        <v>1133</v>
      </c>
      <c r="L2490" s="247" t="s">
        <v>154</v>
      </c>
      <c r="M2490" s="414"/>
      <c r="N2490" s="414"/>
    </row>
    <row r="2491" spans="1:14" ht="15.6">
      <c r="A2491" s="467">
        <v>45918</v>
      </c>
      <c r="B2491" s="469" t="s">
        <v>2945</v>
      </c>
      <c r="C2491" s="469" t="s">
        <v>173</v>
      </c>
      <c r="D2491" s="469" t="s">
        <v>117</v>
      </c>
      <c r="E2491" s="470">
        <v>500</v>
      </c>
      <c r="F2491" s="463">
        <f t="shared" si="31"/>
        <v>0.93720185266062228</v>
      </c>
      <c r="G2491" s="464">
        <v>533.50300000000004</v>
      </c>
      <c r="H2491" s="469" t="s">
        <v>583</v>
      </c>
      <c r="I2491" s="469" t="s">
        <v>2970</v>
      </c>
      <c r="J2491" s="247" t="s">
        <v>97</v>
      </c>
      <c r="K2491" s="247" t="s">
        <v>1133</v>
      </c>
      <c r="L2491" s="247" t="s">
        <v>154</v>
      </c>
      <c r="M2491" s="414"/>
      <c r="N2491" s="414"/>
    </row>
    <row r="2492" spans="1:14" ht="15.6">
      <c r="A2492" s="467">
        <v>45918</v>
      </c>
      <c r="B2492" s="469" t="s">
        <v>2946</v>
      </c>
      <c r="C2492" s="469" t="s">
        <v>173</v>
      </c>
      <c r="D2492" s="469" t="s">
        <v>117</v>
      </c>
      <c r="E2492" s="470">
        <v>500</v>
      </c>
      <c r="F2492" s="463">
        <f t="shared" si="31"/>
        <v>0.93720185266062228</v>
      </c>
      <c r="G2492" s="464">
        <v>533.50300000000004</v>
      </c>
      <c r="H2492" s="469" t="s">
        <v>583</v>
      </c>
      <c r="I2492" s="469" t="s">
        <v>2970</v>
      </c>
      <c r="J2492" s="247" t="s">
        <v>97</v>
      </c>
      <c r="K2492" s="247" t="s">
        <v>1133</v>
      </c>
      <c r="L2492" s="247" t="s">
        <v>154</v>
      </c>
      <c r="M2492" s="335"/>
      <c r="N2492" s="335"/>
    </row>
    <row r="2493" spans="1:14" ht="15.6">
      <c r="A2493" s="471">
        <v>45918</v>
      </c>
      <c r="B2493" s="247" t="s">
        <v>2358</v>
      </c>
      <c r="C2493" s="469" t="s">
        <v>181</v>
      </c>
      <c r="D2493" s="469" t="s">
        <v>117</v>
      </c>
      <c r="E2493" s="468">
        <v>7200</v>
      </c>
      <c r="F2493" s="463">
        <f t="shared" si="31"/>
        <v>13.49570667831296</v>
      </c>
      <c r="G2493" s="464">
        <v>533.50300000000004</v>
      </c>
      <c r="H2493" s="469" t="s">
        <v>583</v>
      </c>
      <c r="I2493" s="247" t="s">
        <v>2979</v>
      </c>
      <c r="J2493" s="247" t="s">
        <v>97</v>
      </c>
      <c r="K2493" s="247" t="s">
        <v>1133</v>
      </c>
      <c r="L2493" s="247" t="s">
        <v>154</v>
      </c>
      <c r="M2493" s="335"/>
      <c r="N2493" s="335"/>
    </row>
    <row r="2494" spans="1:14" ht="15.6">
      <c r="A2494" s="474">
        <v>45918</v>
      </c>
      <c r="B2494" s="475" t="s">
        <v>3818</v>
      </c>
      <c r="C2494" s="475" t="s">
        <v>173</v>
      </c>
      <c r="D2494" s="179" t="s">
        <v>442</v>
      </c>
      <c r="E2494" s="475">
        <v>1500</v>
      </c>
      <c r="F2494" s="463">
        <f t="shared" si="31"/>
        <v>2.8116055579818666</v>
      </c>
      <c r="G2494" s="464">
        <v>533.50300000000004</v>
      </c>
      <c r="H2494" s="475" t="s">
        <v>183</v>
      </c>
      <c r="I2494" s="475" t="s">
        <v>3086</v>
      </c>
      <c r="J2494" s="247" t="s">
        <v>97</v>
      </c>
      <c r="K2494" s="247" t="s">
        <v>1133</v>
      </c>
      <c r="L2494" s="247" t="s">
        <v>154</v>
      </c>
      <c r="M2494" s="414"/>
      <c r="N2494" s="414"/>
    </row>
    <row r="2495" spans="1:14" ht="15.6">
      <c r="A2495" s="474">
        <v>45918</v>
      </c>
      <c r="B2495" s="475" t="s">
        <v>3782</v>
      </c>
      <c r="C2495" s="475" t="s">
        <v>173</v>
      </c>
      <c r="D2495" s="179" t="s">
        <v>442</v>
      </c>
      <c r="E2495" s="475">
        <v>1000</v>
      </c>
      <c r="F2495" s="463">
        <f t="shared" si="31"/>
        <v>1.8744037053212446</v>
      </c>
      <c r="G2495" s="464">
        <v>533.50300000000004</v>
      </c>
      <c r="H2495" s="475" t="s">
        <v>183</v>
      </c>
      <c r="I2495" s="475" t="s">
        <v>3086</v>
      </c>
      <c r="J2495" s="247" t="s">
        <v>97</v>
      </c>
      <c r="K2495" s="247" t="s">
        <v>1133</v>
      </c>
      <c r="L2495" s="247" t="s">
        <v>154</v>
      </c>
      <c r="M2495" s="414"/>
      <c r="N2495" s="414"/>
    </row>
    <row r="2496" spans="1:14" ht="15.6">
      <c r="A2496" s="474">
        <v>45918</v>
      </c>
      <c r="B2496" s="475" t="s">
        <v>3853</v>
      </c>
      <c r="C2496" s="475" t="s">
        <v>173</v>
      </c>
      <c r="D2496" s="179" t="s">
        <v>442</v>
      </c>
      <c r="E2496" s="475">
        <v>1000</v>
      </c>
      <c r="F2496" s="463">
        <f t="shared" si="31"/>
        <v>1.8744037053212446</v>
      </c>
      <c r="G2496" s="464">
        <v>533.50300000000004</v>
      </c>
      <c r="H2496" s="475" t="s">
        <v>183</v>
      </c>
      <c r="I2496" s="475" t="s">
        <v>3086</v>
      </c>
      <c r="J2496" s="247" t="s">
        <v>97</v>
      </c>
      <c r="K2496" s="247" t="s">
        <v>1133</v>
      </c>
      <c r="L2496" s="247" t="s">
        <v>154</v>
      </c>
      <c r="M2496" s="414"/>
      <c r="N2496" s="414"/>
    </row>
    <row r="2497" spans="1:14" ht="15.6">
      <c r="A2497" s="474">
        <v>45918</v>
      </c>
      <c r="B2497" s="475" t="s">
        <v>3854</v>
      </c>
      <c r="C2497" s="475" t="s">
        <v>173</v>
      </c>
      <c r="D2497" s="179" t="s">
        <v>442</v>
      </c>
      <c r="E2497" s="475">
        <v>1000</v>
      </c>
      <c r="F2497" s="463">
        <f t="shared" si="31"/>
        <v>1.8744037053212446</v>
      </c>
      <c r="G2497" s="464">
        <v>533.50300000000004</v>
      </c>
      <c r="H2497" s="475" t="s">
        <v>183</v>
      </c>
      <c r="I2497" s="475" t="s">
        <v>3086</v>
      </c>
      <c r="J2497" s="247" t="s">
        <v>97</v>
      </c>
      <c r="K2497" s="247" t="s">
        <v>1133</v>
      </c>
      <c r="L2497" s="247" t="s">
        <v>154</v>
      </c>
      <c r="M2497" s="414"/>
      <c r="N2497" s="414"/>
    </row>
    <row r="2498" spans="1:14" ht="15.6">
      <c r="A2498" s="474">
        <v>45918</v>
      </c>
      <c r="B2498" s="475" t="s">
        <v>3068</v>
      </c>
      <c r="C2498" s="475" t="s">
        <v>173</v>
      </c>
      <c r="D2498" s="179" t="s">
        <v>442</v>
      </c>
      <c r="E2498" s="475">
        <v>1000</v>
      </c>
      <c r="F2498" s="463">
        <f t="shared" si="31"/>
        <v>1.8744037053212446</v>
      </c>
      <c r="G2498" s="464">
        <v>533.50300000000004</v>
      </c>
      <c r="H2498" s="475" t="s">
        <v>183</v>
      </c>
      <c r="I2498" s="475" t="s">
        <v>3086</v>
      </c>
      <c r="J2498" s="247" t="s">
        <v>97</v>
      </c>
      <c r="K2498" s="247" t="s">
        <v>1133</v>
      </c>
      <c r="L2498" s="247" t="s">
        <v>154</v>
      </c>
      <c r="M2498" s="414"/>
      <c r="N2498" s="414"/>
    </row>
    <row r="2499" spans="1:14" ht="15.6">
      <c r="A2499" s="476">
        <v>45918</v>
      </c>
      <c r="B2499" s="469" t="s">
        <v>3899</v>
      </c>
      <c r="C2499" s="469" t="s">
        <v>173</v>
      </c>
      <c r="D2499" s="179" t="s">
        <v>442</v>
      </c>
      <c r="E2499" s="469">
        <v>1000</v>
      </c>
      <c r="F2499" s="463">
        <f t="shared" si="31"/>
        <v>1.8744037053212446</v>
      </c>
      <c r="G2499" s="464">
        <v>533.50300000000004</v>
      </c>
      <c r="H2499" s="469" t="s">
        <v>174</v>
      </c>
      <c r="I2499" s="469" t="s">
        <v>3196</v>
      </c>
      <c r="J2499" s="247" t="s">
        <v>97</v>
      </c>
      <c r="K2499" s="247" t="s">
        <v>1133</v>
      </c>
      <c r="L2499" s="247" t="s">
        <v>154</v>
      </c>
      <c r="M2499" s="414"/>
      <c r="N2499" s="414"/>
    </row>
    <row r="2500" spans="1:14" ht="15.6">
      <c r="A2500" s="476">
        <v>45918</v>
      </c>
      <c r="B2500" s="469" t="s">
        <v>3954</v>
      </c>
      <c r="C2500" s="469" t="s">
        <v>173</v>
      </c>
      <c r="D2500" s="179" t="s">
        <v>442</v>
      </c>
      <c r="E2500" s="469">
        <v>1000</v>
      </c>
      <c r="F2500" s="463">
        <f t="shared" si="31"/>
        <v>1.8744037053212446</v>
      </c>
      <c r="G2500" s="464">
        <v>533.50300000000004</v>
      </c>
      <c r="H2500" s="469" t="s">
        <v>174</v>
      </c>
      <c r="I2500" s="469" t="s">
        <v>3196</v>
      </c>
      <c r="J2500" s="247" t="s">
        <v>97</v>
      </c>
      <c r="K2500" s="247" t="s">
        <v>1133</v>
      </c>
      <c r="L2500" s="247" t="s">
        <v>154</v>
      </c>
      <c r="M2500" s="414"/>
      <c r="N2500" s="414"/>
    </row>
    <row r="2501" spans="1:14" ht="15.6">
      <c r="A2501" s="476">
        <v>45918</v>
      </c>
      <c r="B2501" s="469" t="s">
        <v>3955</v>
      </c>
      <c r="C2501" s="469" t="s">
        <v>173</v>
      </c>
      <c r="D2501" s="179" t="s">
        <v>442</v>
      </c>
      <c r="E2501" s="469">
        <v>1000</v>
      </c>
      <c r="F2501" s="463">
        <f t="shared" si="31"/>
        <v>1.8744037053212446</v>
      </c>
      <c r="G2501" s="464">
        <v>533.50300000000004</v>
      </c>
      <c r="H2501" s="469" t="s">
        <v>174</v>
      </c>
      <c r="I2501" s="469" t="s">
        <v>3196</v>
      </c>
      <c r="J2501" s="247" t="s">
        <v>97</v>
      </c>
      <c r="K2501" s="247" t="s">
        <v>1133</v>
      </c>
      <c r="L2501" s="247" t="s">
        <v>154</v>
      </c>
      <c r="M2501" s="414"/>
      <c r="N2501" s="414"/>
    </row>
    <row r="2502" spans="1:14" ht="15.6">
      <c r="A2502" s="476">
        <v>45918</v>
      </c>
      <c r="B2502" s="469" t="s">
        <v>3954</v>
      </c>
      <c r="C2502" s="469" t="s">
        <v>173</v>
      </c>
      <c r="D2502" s="179" t="s">
        <v>442</v>
      </c>
      <c r="E2502" s="469">
        <v>1000</v>
      </c>
      <c r="F2502" s="463">
        <f t="shared" si="31"/>
        <v>1.8744037053212446</v>
      </c>
      <c r="G2502" s="464">
        <v>533.50300000000004</v>
      </c>
      <c r="H2502" s="469" t="s">
        <v>174</v>
      </c>
      <c r="I2502" s="469" t="s">
        <v>3196</v>
      </c>
      <c r="J2502" s="247" t="s">
        <v>97</v>
      </c>
      <c r="K2502" s="247" t="s">
        <v>1133</v>
      </c>
      <c r="L2502" s="247" t="s">
        <v>154</v>
      </c>
      <c r="M2502" s="414"/>
      <c r="N2502" s="414"/>
    </row>
    <row r="2503" spans="1:14" ht="15.6">
      <c r="A2503" s="476">
        <v>45918</v>
      </c>
      <c r="B2503" s="469" t="s">
        <v>3956</v>
      </c>
      <c r="C2503" s="469" t="s">
        <v>173</v>
      </c>
      <c r="D2503" s="179" t="s">
        <v>442</v>
      </c>
      <c r="E2503" s="469">
        <v>1000</v>
      </c>
      <c r="F2503" s="463">
        <f t="shared" si="31"/>
        <v>1.8744037053212446</v>
      </c>
      <c r="G2503" s="464">
        <v>533.50300000000004</v>
      </c>
      <c r="H2503" s="469" t="s">
        <v>174</v>
      </c>
      <c r="I2503" s="469" t="s">
        <v>3196</v>
      </c>
      <c r="J2503" s="247" t="s">
        <v>97</v>
      </c>
      <c r="K2503" s="247" t="s">
        <v>1133</v>
      </c>
      <c r="L2503" s="247" t="s">
        <v>154</v>
      </c>
      <c r="M2503" s="414"/>
      <c r="N2503" s="414"/>
    </row>
    <row r="2504" spans="1:14" ht="15.6">
      <c r="A2504" s="476">
        <v>45918</v>
      </c>
      <c r="B2504" s="469" t="s">
        <v>3127</v>
      </c>
      <c r="C2504" s="469" t="s">
        <v>368</v>
      </c>
      <c r="D2504" s="179" t="s">
        <v>442</v>
      </c>
      <c r="E2504" s="469">
        <v>2000</v>
      </c>
      <c r="F2504" s="463">
        <f t="shared" si="31"/>
        <v>3.7488074106424891</v>
      </c>
      <c r="G2504" s="464">
        <v>533.50300000000004</v>
      </c>
      <c r="H2504" s="469" t="s">
        <v>174</v>
      </c>
      <c r="I2504" s="469" t="s">
        <v>3201</v>
      </c>
      <c r="J2504" s="247" t="s">
        <v>97</v>
      </c>
      <c r="K2504" s="247" t="s">
        <v>1133</v>
      </c>
      <c r="L2504" s="247" t="s">
        <v>154</v>
      </c>
      <c r="M2504" s="335"/>
      <c r="N2504" s="335"/>
    </row>
    <row r="2505" spans="1:14" ht="15.6">
      <c r="A2505" s="476">
        <v>45918</v>
      </c>
      <c r="B2505" s="469" t="s">
        <v>3731</v>
      </c>
      <c r="C2505" s="469" t="s">
        <v>173</v>
      </c>
      <c r="D2505" s="179" t="s">
        <v>442</v>
      </c>
      <c r="E2505" s="469">
        <v>2000</v>
      </c>
      <c r="F2505" s="463">
        <f t="shared" si="31"/>
        <v>3.7488074106424891</v>
      </c>
      <c r="G2505" s="464">
        <v>533.50300000000004</v>
      </c>
      <c r="H2505" s="469" t="s">
        <v>316</v>
      </c>
      <c r="I2505" s="469" t="s">
        <v>3260</v>
      </c>
      <c r="J2505" s="247" t="s">
        <v>97</v>
      </c>
      <c r="K2505" s="247" t="s">
        <v>1133</v>
      </c>
      <c r="L2505" s="247" t="s">
        <v>154</v>
      </c>
      <c r="M2505" s="335"/>
      <c r="N2505" s="335"/>
    </row>
    <row r="2506" spans="1:14" ht="15.6">
      <c r="A2506" s="476">
        <v>45918</v>
      </c>
      <c r="B2506" s="469" t="s">
        <v>3731</v>
      </c>
      <c r="C2506" s="469" t="s">
        <v>173</v>
      </c>
      <c r="D2506" s="179" t="s">
        <v>442</v>
      </c>
      <c r="E2506" s="469">
        <v>2500</v>
      </c>
      <c r="F2506" s="463">
        <f t="shared" si="31"/>
        <v>4.6860092633031112</v>
      </c>
      <c r="G2506" s="464">
        <v>533.50300000000004</v>
      </c>
      <c r="H2506" s="469" t="s">
        <v>316</v>
      </c>
      <c r="I2506" s="469" t="s">
        <v>3260</v>
      </c>
      <c r="J2506" s="247" t="s">
        <v>97</v>
      </c>
      <c r="K2506" s="247" t="s">
        <v>1133</v>
      </c>
      <c r="L2506" s="247" t="s">
        <v>154</v>
      </c>
      <c r="M2506" s="335"/>
      <c r="N2506" s="335"/>
    </row>
    <row r="2507" spans="1:14" ht="15.6">
      <c r="A2507" s="476">
        <v>45918</v>
      </c>
      <c r="B2507" s="469" t="s">
        <v>3731</v>
      </c>
      <c r="C2507" s="469" t="s">
        <v>173</v>
      </c>
      <c r="D2507" s="179" t="s">
        <v>442</v>
      </c>
      <c r="E2507" s="469">
        <v>1500</v>
      </c>
      <c r="F2507" s="463">
        <f t="shared" si="31"/>
        <v>2.8116055579818666</v>
      </c>
      <c r="G2507" s="464">
        <v>533.50300000000004</v>
      </c>
      <c r="H2507" s="469" t="s">
        <v>316</v>
      </c>
      <c r="I2507" s="469" t="s">
        <v>3260</v>
      </c>
      <c r="J2507" s="247" t="s">
        <v>97</v>
      </c>
      <c r="K2507" s="247" t="s">
        <v>1133</v>
      </c>
      <c r="L2507" s="247" t="s">
        <v>154</v>
      </c>
      <c r="M2507" s="335"/>
      <c r="N2507" s="335"/>
    </row>
    <row r="2508" spans="1:14" ht="15.6">
      <c r="A2508" s="476">
        <v>45918</v>
      </c>
      <c r="B2508" s="469" t="s">
        <v>3732</v>
      </c>
      <c r="C2508" s="469" t="s">
        <v>173</v>
      </c>
      <c r="D2508" s="179" t="s">
        <v>442</v>
      </c>
      <c r="E2508" s="469">
        <v>2500</v>
      </c>
      <c r="F2508" s="463">
        <f t="shared" si="31"/>
        <v>4.6860092633031112</v>
      </c>
      <c r="G2508" s="464">
        <v>533.50300000000004</v>
      </c>
      <c r="H2508" s="469" t="s">
        <v>316</v>
      </c>
      <c r="I2508" s="469" t="s">
        <v>3260</v>
      </c>
      <c r="J2508" s="247" t="s">
        <v>97</v>
      </c>
      <c r="K2508" s="247" t="s">
        <v>1133</v>
      </c>
      <c r="L2508" s="247" t="s">
        <v>154</v>
      </c>
      <c r="M2508" s="335"/>
      <c r="N2508" s="335"/>
    </row>
    <row r="2509" spans="1:14" ht="15.6">
      <c r="A2509" s="476">
        <v>45918</v>
      </c>
      <c r="B2509" s="469" t="s">
        <v>3290</v>
      </c>
      <c r="C2509" s="469" t="s">
        <v>173</v>
      </c>
      <c r="D2509" s="179" t="s">
        <v>442</v>
      </c>
      <c r="E2509" s="472">
        <v>1000</v>
      </c>
      <c r="F2509" s="463">
        <f t="shared" si="31"/>
        <v>1.8744037053212446</v>
      </c>
      <c r="G2509" s="464">
        <v>533.50300000000004</v>
      </c>
      <c r="H2509" s="469" t="s">
        <v>322</v>
      </c>
      <c r="I2509" s="469" t="s">
        <v>3301</v>
      </c>
      <c r="J2509" s="247" t="s">
        <v>97</v>
      </c>
      <c r="K2509" s="247" t="s">
        <v>1133</v>
      </c>
      <c r="L2509" s="247" t="s">
        <v>154</v>
      </c>
      <c r="M2509" s="335"/>
      <c r="N2509" s="335"/>
    </row>
    <row r="2510" spans="1:14" ht="15.6">
      <c r="A2510" s="476">
        <v>45918</v>
      </c>
      <c r="B2510" s="469" t="s">
        <v>3291</v>
      </c>
      <c r="C2510" s="469" t="s">
        <v>173</v>
      </c>
      <c r="D2510" s="179" t="s">
        <v>442</v>
      </c>
      <c r="E2510" s="472">
        <v>1000</v>
      </c>
      <c r="F2510" s="463">
        <f t="shared" si="31"/>
        <v>1.8744037053212446</v>
      </c>
      <c r="G2510" s="464">
        <v>533.50300000000004</v>
      </c>
      <c r="H2510" s="469" t="s">
        <v>322</v>
      </c>
      <c r="I2510" s="469" t="s">
        <v>3301</v>
      </c>
      <c r="J2510" s="247" t="s">
        <v>97</v>
      </c>
      <c r="K2510" s="247" t="s">
        <v>1133</v>
      </c>
      <c r="L2510" s="247" t="s">
        <v>154</v>
      </c>
      <c r="M2510" s="335"/>
      <c r="N2510" s="335"/>
    </row>
    <row r="2511" spans="1:14" ht="15.6">
      <c r="A2511" s="476">
        <v>45918</v>
      </c>
      <c r="B2511" s="469" t="s">
        <v>3292</v>
      </c>
      <c r="C2511" s="469" t="s">
        <v>173</v>
      </c>
      <c r="D2511" s="179" t="s">
        <v>442</v>
      </c>
      <c r="E2511" s="472">
        <v>1000</v>
      </c>
      <c r="F2511" s="463">
        <f t="shared" si="31"/>
        <v>1.8744037053212446</v>
      </c>
      <c r="G2511" s="464">
        <v>533.50300000000004</v>
      </c>
      <c r="H2511" s="469" t="s">
        <v>322</v>
      </c>
      <c r="I2511" s="469" t="s">
        <v>3301</v>
      </c>
      <c r="J2511" s="247" t="s">
        <v>97</v>
      </c>
      <c r="K2511" s="247" t="s">
        <v>1133</v>
      </c>
      <c r="L2511" s="247" t="s">
        <v>154</v>
      </c>
      <c r="M2511" s="335"/>
      <c r="N2511" s="335"/>
    </row>
    <row r="2512" spans="1:14" ht="15.6">
      <c r="A2512" s="476">
        <v>45918</v>
      </c>
      <c r="B2512" s="469" t="s">
        <v>3293</v>
      </c>
      <c r="C2512" s="469" t="s">
        <v>173</v>
      </c>
      <c r="D2512" s="179" t="s">
        <v>442</v>
      </c>
      <c r="E2512" s="472">
        <v>1000</v>
      </c>
      <c r="F2512" s="463">
        <f t="shared" si="31"/>
        <v>1.8744037053212446</v>
      </c>
      <c r="G2512" s="464">
        <v>533.50300000000004</v>
      </c>
      <c r="H2512" s="469" t="s">
        <v>322</v>
      </c>
      <c r="I2512" s="469" t="s">
        <v>3301</v>
      </c>
      <c r="J2512" s="247" t="s">
        <v>97</v>
      </c>
      <c r="K2512" s="247" t="s">
        <v>1133</v>
      </c>
      <c r="L2512" s="247" t="s">
        <v>154</v>
      </c>
      <c r="M2512" s="335"/>
      <c r="N2512" s="335"/>
    </row>
    <row r="2513" spans="1:14" ht="15.6">
      <c r="A2513" s="476">
        <v>45918</v>
      </c>
      <c r="B2513" s="469" t="s">
        <v>3317</v>
      </c>
      <c r="C2513" s="469" t="s">
        <v>173</v>
      </c>
      <c r="D2513" s="469" t="s">
        <v>116</v>
      </c>
      <c r="E2513" s="470">
        <v>1000</v>
      </c>
      <c r="F2513" s="463">
        <f t="shared" si="31"/>
        <v>1.8744037053212446</v>
      </c>
      <c r="G2513" s="464">
        <v>533.50300000000004</v>
      </c>
      <c r="H2513" s="469" t="s">
        <v>189</v>
      </c>
      <c r="I2513" s="469" t="s">
        <v>3324</v>
      </c>
      <c r="J2513" s="247" t="s">
        <v>97</v>
      </c>
      <c r="K2513" s="247" t="s">
        <v>1133</v>
      </c>
      <c r="L2513" s="247" t="s">
        <v>154</v>
      </c>
      <c r="M2513" s="335"/>
      <c r="N2513" s="335"/>
    </row>
    <row r="2514" spans="1:14" ht="15.6">
      <c r="A2514" s="476">
        <v>45918</v>
      </c>
      <c r="B2514" s="469" t="s">
        <v>3318</v>
      </c>
      <c r="C2514" s="469" t="s">
        <v>173</v>
      </c>
      <c r="D2514" s="469" t="s">
        <v>116</v>
      </c>
      <c r="E2514" s="470">
        <v>2000</v>
      </c>
      <c r="F2514" s="463">
        <f t="shared" si="31"/>
        <v>3.7488074106424891</v>
      </c>
      <c r="G2514" s="464">
        <v>533.50300000000004</v>
      </c>
      <c r="H2514" s="469" t="s">
        <v>189</v>
      </c>
      <c r="I2514" s="469" t="s">
        <v>3324</v>
      </c>
      <c r="J2514" s="247" t="s">
        <v>97</v>
      </c>
      <c r="K2514" s="247" t="s">
        <v>1133</v>
      </c>
      <c r="L2514" s="247" t="s">
        <v>154</v>
      </c>
      <c r="M2514" s="335"/>
      <c r="N2514" s="335"/>
    </row>
    <row r="2515" spans="1:14" ht="15.6">
      <c r="A2515" s="476">
        <v>45919</v>
      </c>
      <c r="B2515" s="469" t="s">
        <v>2100</v>
      </c>
      <c r="C2515" s="462" t="s">
        <v>173</v>
      </c>
      <c r="D2515" s="462" t="s">
        <v>118</v>
      </c>
      <c r="E2515" s="359">
        <v>1000</v>
      </c>
      <c r="F2515" s="463">
        <f t="shared" si="31"/>
        <v>1.8744037053212446</v>
      </c>
      <c r="G2515" s="464">
        <v>533.50300000000004</v>
      </c>
      <c r="H2515" s="465" t="s">
        <v>152</v>
      </c>
      <c r="I2515" s="469" t="s">
        <v>2868</v>
      </c>
      <c r="J2515" s="247" t="s">
        <v>97</v>
      </c>
      <c r="K2515" s="247" t="s">
        <v>1133</v>
      </c>
      <c r="L2515" s="247" t="s">
        <v>154</v>
      </c>
      <c r="M2515" s="414"/>
      <c r="N2515" s="414"/>
    </row>
    <row r="2516" spans="1:14" ht="15.6">
      <c r="A2516" s="476">
        <v>45919</v>
      </c>
      <c r="B2516" s="469" t="s">
        <v>2101</v>
      </c>
      <c r="C2516" s="462" t="s">
        <v>173</v>
      </c>
      <c r="D2516" s="462" t="s">
        <v>118</v>
      </c>
      <c r="E2516" s="359">
        <v>1000</v>
      </c>
      <c r="F2516" s="463">
        <f t="shared" si="31"/>
        <v>1.8744037053212446</v>
      </c>
      <c r="G2516" s="464">
        <v>533.50300000000004</v>
      </c>
      <c r="H2516" s="465" t="s">
        <v>152</v>
      </c>
      <c r="I2516" s="469" t="s">
        <v>2868</v>
      </c>
      <c r="J2516" s="247" t="s">
        <v>97</v>
      </c>
      <c r="K2516" s="247" t="s">
        <v>1133</v>
      </c>
      <c r="L2516" s="247" t="s">
        <v>154</v>
      </c>
      <c r="M2516" s="414"/>
      <c r="N2516" s="414"/>
    </row>
    <row r="2517" spans="1:14" ht="15.6">
      <c r="A2517" s="467">
        <v>45919</v>
      </c>
      <c r="B2517" s="469" t="s">
        <v>2947</v>
      </c>
      <c r="C2517" s="469" t="s">
        <v>173</v>
      </c>
      <c r="D2517" s="469" t="s">
        <v>117</v>
      </c>
      <c r="E2517" s="470">
        <v>1000</v>
      </c>
      <c r="F2517" s="463">
        <f t="shared" si="31"/>
        <v>1.8744037053212446</v>
      </c>
      <c r="G2517" s="464">
        <v>533.50300000000004</v>
      </c>
      <c r="H2517" s="469" t="s">
        <v>583</v>
      </c>
      <c r="I2517" s="469" t="s">
        <v>2970</v>
      </c>
      <c r="J2517" s="247" t="s">
        <v>97</v>
      </c>
      <c r="K2517" s="247" t="s">
        <v>1133</v>
      </c>
      <c r="L2517" s="247" t="s">
        <v>154</v>
      </c>
      <c r="M2517" s="335"/>
      <c r="N2517" s="335"/>
    </row>
    <row r="2518" spans="1:14" ht="15.6">
      <c r="A2518" s="467">
        <v>45919</v>
      </c>
      <c r="B2518" s="469" t="s">
        <v>2948</v>
      </c>
      <c r="C2518" s="469" t="s">
        <v>173</v>
      </c>
      <c r="D2518" s="469" t="s">
        <v>117</v>
      </c>
      <c r="E2518" s="470">
        <v>1000</v>
      </c>
      <c r="F2518" s="463">
        <f t="shared" si="31"/>
        <v>1.8744037053212446</v>
      </c>
      <c r="G2518" s="464">
        <v>533.50300000000004</v>
      </c>
      <c r="H2518" s="469" t="s">
        <v>583</v>
      </c>
      <c r="I2518" s="469" t="s">
        <v>2970</v>
      </c>
      <c r="J2518" s="247" t="s">
        <v>97</v>
      </c>
      <c r="K2518" s="247" t="s">
        <v>1133</v>
      </c>
      <c r="L2518" s="247" t="s">
        <v>154</v>
      </c>
      <c r="M2518" s="335"/>
      <c r="N2518" s="335"/>
    </row>
    <row r="2519" spans="1:14" ht="15.6">
      <c r="A2519" s="474">
        <v>45919</v>
      </c>
      <c r="B2519" s="475" t="s">
        <v>3778</v>
      </c>
      <c r="C2519" s="475" t="s">
        <v>173</v>
      </c>
      <c r="D2519" s="179" t="s">
        <v>442</v>
      </c>
      <c r="E2519" s="475">
        <v>1000</v>
      </c>
      <c r="F2519" s="463">
        <f t="shared" si="31"/>
        <v>1.8744037053212446</v>
      </c>
      <c r="G2519" s="464">
        <v>533.50300000000004</v>
      </c>
      <c r="H2519" s="475" t="s">
        <v>183</v>
      </c>
      <c r="I2519" s="475" t="s">
        <v>3086</v>
      </c>
      <c r="J2519" s="247" t="s">
        <v>97</v>
      </c>
      <c r="K2519" s="247" t="s">
        <v>1133</v>
      </c>
      <c r="L2519" s="247" t="s">
        <v>154</v>
      </c>
      <c r="M2519" s="414"/>
      <c r="N2519" s="414"/>
    </row>
    <row r="2520" spans="1:14" ht="15.6">
      <c r="A2520" s="474">
        <v>45919</v>
      </c>
      <c r="B2520" s="475" t="s">
        <v>3779</v>
      </c>
      <c r="C2520" s="475" t="s">
        <v>173</v>
      </c>
      <c r="D2520" s="179" t="s">
        <v>442</v>
      </c>
      <c r="E2520" s="475">
        <v>1000</v>
      </c>
      <c r="F2520" s="463">
        <f t="shared" si="31"/>
        <v>1.8744037053212446</v>
      </c>
      <c r="G2520" s="464">
        <v>533.50300000000004</v>
      </c>
      <c r="H2520" s="475" t="s">
        <v>183</v>
      </c>
      <c r="I2520" s="475" t="s">
        <v>3086</v>
      </c>
      <c r="J2520" s="247" t="s">
        <v>97</v>
      </c>
      <c r="K2520" s="247" t="s">
        <v>1133</v>
      </c>
      <c r="L2520" s="247" t="s">
        <v>154</v>
      </c>
      <c r="M2520" s="414"/>
      <c r="N2520" s="414"/>
    </row>
    <row r="2521" spans="1:14" ht="15.6">
      <c r="A2521" s="474">
        <v>45919</v>
      </c>
      <c r="B2521" s="475" t="s">
        <v>3778</v>
      </c>
      <c r="C2521" s="475" t="s">
        <v>173</v>
      </c>
      <c r="D2521" s="179" t="s">
        <v>442</v>
      </c>
      <c r="E2521" s="475">
        <v>1000</v>
      </c>
      <c r="F2521" s="463">
        <f t="shared" si="31"/>
        <v>1.8744037053212446</v>
      </c>
      <c r="G2521" s="464">
        <v>533.50300000000004</v>
      </c>
      <c r="H2521" s="475" t="s">
        <v>183</v>
      </c>
      <c r="I2521" s="475" t="s">
        <v>3086</v>
      </c>
      <c r="J2521" s="247" t="s">
        <v>97</v>
      </c>
      <c r="K2521" s="247" t="s">
        <v>1133</v>
      </c>
      <c r="L2521" s="247" t="s">
        <v>154</v>
      </c>
      <c r="M2521" s="414"/>
      <c r="N2521" s="414"/>
    </row>
    <row r="2522" spans="1:14" ht="15.6">
      <c r="A2522" s="474">
        <v>45919</v>
      </c>
      <c r="B2522" s="475" t="s">
        <v>3778</v>
      </c>
      <c r="C2522" s="475" t="s">
        <v>173</v>
      </c>
      <c r="D2522" s="179" t="s">
        <v>442</v>
      </c>
      <c r="E2522" s="475">
        <v>1000</v>
      </c>
      <c r="F2522" s="463">
        <f t="shared" si="31"/>
        <v>1.8744037053212446</v>
      </c>
      <c r="G2522" s="464">
        <v>533.50300000000004</v>
      </c>
      <c r="H2522" s="475" t="s">
        <v>183</v>
      </c>
      <c r="I2522" s="475" t="s">
        <v>3086</v>
      </c>
      <c r="J2522" s="247" t="s">
        <v>97</v>
      </c>
      <c r="K2522" s="247" t="s">
        <v>1133</v>
      </c>
      <c r="L2522" s="247" t="s">
        <v>154</v>
      </c>
      <c r="M2522" s="414"/>
      <c r="N2522" s="414"/>
    </row>
    <row r="2523" spans="1:14" ht="15.6">
      <c r="A2523" s="474">
        <v>45919</v>
      </c>
      <c r="B2523" s="475" t="s">
        <v>3782</v>
      </c>
      <c r="C2523" s="475" t="s">
        <v>173</v>
      </c>
      <c r="D2523" s="179" t="s">
        <v>442</v>
      </c>
      <c r="E2523" s="475">
        <v>1000</v>
      </c>
      <c r="F2523" s="463">
        <f t="shared" si="31"/>
        <v>1.8744037053212446</v>
      </c>
      <c r="G2523" s="464">
        <v>533.50300000000004</v>
      </c>
      <c r="H2523" s="475" t="s">
        <v>183</v>
      </c>
      <c r="I2523" s="475" t="s">
        <v>3086</v>
      </c>
      <c r="J2523" s="247" t="s">
        <v>97</v>
      </c>
      <c r="K2523" s="247" t="s">
        <v>1133</v>
      </c>
      <c r="L2523" s="247" t="s">
        <v>154</v>
      </c>
      <c r="M2523" s="414"/>
      <c r="N2523" s="414"/>
    </row>
    <row r="2524" spans="1:14" ht="15.6">
      <c r="A2524" s="474">
        <v>45919</v>
      </c>
      <c r="B2524" s="475" t="s">
        <v>3074</v>
      </c>
      <c r="C2524" s="475" t="s">
        <v>368</v>
      </c>
      <c r="D2524" s="179" t="s">
        <v>442</v>
      </c>
      <c r="E2524" s="475">
        <v>1000</v>
      </c>
      <c r="F2524" s="463">
        <f t="shared" si="31"/>
        <v>1.8744037053212446</v>
      </c>
      <c r="G2524" s="464">
        <v>533.50300000000004</v>
      </c>
      <c r="H2524" s="475" t="s">
        <v>183</v>
      </c>
      <c r="I2524" s="475" t="s">
        <v>3092</v>
      </c>
      <c r="J2524" s="247" t="s">
        <v>97</v>
      </c>
      <c r="K2524" s="247" t="s">
        <v>1133</v>
      </c>
      <c r="L2524" s="247" t="s">
        <v>154</v>
      </c>
      <c r="M2524" s="414"/>
      <c r="N2524" s="414"/>
    </row>
    <row r="2525" spans="1:14" ht="15.6">
      <c r="A2525" s="476">
        <v>45919</v>
      </c>
      <c r="B2525" s="469" t="s">
        <v>3957</v>
      </c>
      <c r="C2525" s="469" t="s">
        <v>173</v>
      </c>
      <c r="D2525" s="179" t="s">
        <v>442</v>
      </c>
      <c r="E2525" s="469">
        <v>1000</v>
      </c>
      <c r="F2525" s="463">
        <f t="shared" si="31"/>
        <v>1.8744037053212446</v>
      </c>
      <c r="G2525" s="464">
        <v>533.50300000000004</v>
      </c>
      <c r="H2525" s="469" t="s">
        <v>174</v>
      </c>
      <c r="I2525" s="469" t="s">
        <v>3196</v>
      </c>
      <c r="J2525" s="247" t="s">
        <v>97</v>
      </c>
      <c r="K2525" s="247" t="s">
        <v>1133</v>
      </c>
      <c r="L2525" s="247" t="s">
        <v>154</v>
      </c>
      <c r="M2525" s="335"/>
      <c r="N2525" s="335"/>
    </row>
    <row r="2526" spans="1:14" ht="15.6">
      <c r="A2526" s="476">
        <v>45919</v>
      </c>
      <c r="B2526" s="469" t="s">
        <v>3944</v>
      </c>
      <c r="C2526" s="469" t="s">
        <v>1007</v>
      </c>
      <c r="D2526" s="179" t="s">
        <v>442</v>
      </c>
      <c r="E2526" s="469">
        <v>1000</v>
      </c>
      <c r="F2526" s="463">
        <f t="shared" si="31"/>
        <v>1.8744037053212446</v>
      </c>
      <c r="G2526" s="464">
        <v>533.50300000000004</v>
      </c>
      <c r="H2526" s="469" t="s">
        <v>174</v>
      </c>
      <c r="I2526" s="469" t="s">
        <v>3196</v>
      </c>
      <c r="J2526" s="247" t="s">
        <v>97</v>
      </c>
      <c r="K2526" s="247" t="s">
        <v>1133</v>
      </c>
      <c r="L2526" s="247" t="s">
        <v>154</v>
      </c>
      <c r="M2526" s="335"/>
      <c r="N2526" s="335"/>
    </row>
    <row r="2527" spans="1:14" ht="15.6">
      <c r="A2527" s="476">
        <v>45919</v>
      </c>
      <c r="B2527" s="469" t="s">
        <v>3319</v>
      </c>
      <c r="C2527" s="469" t="s">
        <v>173</v>
      </c>
      <c r="D2527" s="469" t="s">
        <v>116</v>
      </c>
      <c r="E2527" s="470">
        <v>2000</v>
      </c>
      <c r="F2527" s="463">
        <f t="shared" si="31"/>
        <v>3.7488074106424891</v>
      </c>
      <c r="G2527" s="464">
        <v>533.50300000000004</v>
      </c>
      <c r="H2527" s="469" t="s">
        <v>189</v>
      </c>
      <c r="I2527" s="469" t="s">
        <v>3324</v>
      </c>
      <c r="J2527" s="247" t="s">
        <v>97</v>
      </c>
      <c r="K2527" s="247" t="s">
        <v>1133</v>
      </c>
      <c r="L2527" s="247" t="s">
        <v>154</v>
      </c>
      <c r="M2527" s="335"/>
      <c r="N2527" s="335"/>
    </row>
    <row r="2528" spans="1:14" ht="15.6">
      <c r="A2528" s="476">
        <v>45919</v>
      </c>
      <c r="B2528" s="469" t="s">
        <v>3320</v>
      </c>
      <c r="C2528" s="469" t="s">
        <v>173</v>
      </c>
      <c r="D2528" s="469" t="s">
        <v>116</v>
      </c>
      <c r="E2528" s="470">
        <v>1000</v>
      </c>
      <c r="F2528" s="463">
        <f t="shared" si="31"/>
        <v>1.8744037053212446</v>
      </c>
      <c r="G2528" s="464">
        <v>533.50300000000004</v>
      </c>
      <c r="H2528" s="469" t="s">
        <v>189</v>
      </c>
      <c r="I2528" s="469" t="s">
        <v>3324</v>
      </c>
      <c r="J2528" s="247" t="s">
        <v>97</v>
      </c>
      <c r="K2528" s="247" t="s">
        <v>1133</v>
      </c>
      <c r="L2528" s="247" t="s">
        <v>154</v>
      </c>
      <c r="M2528" s="335"/>
      <c r="N2528" s="335"/>
    </row>
    <row r="2529" spans="1:14" ht="15.6">
      <c r="A2529" s="476">
        <v>45919</v>
      </c>
      <c r="B2529" s="469" t="s">
        <v>3321</v>
      </c>
      <c r="C2529" s="469" t="s">
        <v>173</v>
      </c>
      <c r="D2529" s="469" t="s">
        <v>116</v>
      </c>
      <c r="E2529" s="470">
        <v>1000</v>
      </c>
      <c r="F2529" s="463">
        <f t="shared" si="31"/>
        <v>1.8744037053212446</v>
      </c>
      <c r="G2529" s="464">
        <v>533.50300000000004</v>
      </c>
      <c r="H2529" s="469" t="s">
        <v>189</v>
      </c>
      <c r="I2529" s="469" t="s">
        <v>3324</v>
      </c>
      <c r="J2529" s="247" t="s">
        <v>97</v>
      </c>
      <c r="K2529" s="247" t="s">
        <v>1133</v>
      </c>
      <c r="L2529" s="247" t="s">
        <v>154</v>
      </c>
      <c r="M2529" s="335"/>
      <c r="N2529" s="335"/>
    </row>
    <row r="2530" spans="1:14" ht="15.6">
      <c r="A2530" s="476">
        <v>45919</v>
      </c>
      <c r="B2530" s="469" t="s">
        <v>3310</v>
      </c>
      <c r="C2530" s="469" t="s">
        <v>173</v>
      </c>
      <c r="D2530" s="469" t="s">
        <v>116</v>
      </c>
      <c r="E2530" s="470">
        <v>1000</v>
      </c>
      <c r="F2530" s="463">
        <f t="shared" si="31"/>
        <v>1.8744037053212446</v>
      </c>
      <c r="G2530" s="464">
        <v>533.50300000000004</v>
      </c>
      <c r="H2530" s="469" t="s">
        <v>189</v>
      </c>
      <c r="I2530" s="469" t="s">
        <v>3324</v>
      </c>
      <c r="J2530" s="247" t="s">
        <v>97</v>
      </c>
      <c r="K2530" s="247" t="s">
        <v>1133</v>
      </c>
      <c r="L2530" s="247" t="s">
        <v>154</v>
      </c>
      <c r="M2530" s="335"/>
      <c r="N2530" s="335"/>
    </row>
    <row r="2531" spans="1:14" ht="15.6">
      <c r="A2531" s="471">
        <v>45919</v>
      </c>
      <c r="B2531" s="469" t="s">
        <v>3354</v>
      </c>
      <c r="C2531" s="247" t="s">
        <v>173</v>
      </c>
      <c r="D2531" s="247" t="s">
        <v>116</v>
      </c>
      <c r="E2531" s="468">
        <v>1500</v>
      </c>
      <c r="F2531" s="463">
        <f t="shared" si="31"/>
        <v>2.8116055579818666</v>
      </c>
      <c r="G2531" s="464">
        <v>533.50300000000004</v>
      </c>
      <c r="H2531" s="247" t="s">
        <v>192</v>
      </c>
      <c r="I2531" s="469" t="s">
        <v>3360</v>
      </c>
      <c r="J2531" s="247" t="s">
        <v>97</v>
      </c>
      <c r="K2531" s="247" t="s">
        <v>1133</v>
      </c>
      <c r="L2531" s="247" t="s">
        <v>154</v>
      </c>
      <c r="M2531" s="76"/>
      <c r="N2531" s="76"/>
    </row>
    <row r="2532" spans="1:14" ht="15.6">
      <c r="A2532" s="471">
        <v>45919</v>
      </c>
      <c r="B2532" s="469" t="s">
        <v>3355</v>
      </c>
      <c r="C2532" s="247" t="s">
        <v>173</v>
      </c>
      <c r="D2532" s="247" t="s">
        <v>116</v>
      </c>
      <c r="E2532" s="468">
        <v>1000</v>
      </c>
      <c r="F2532" s="463">
        <f t="shared" si="31"/>
        <v>1.8744037053212446</v>
      </c>
      <c r="G2532" s="464">
        <v>533.50300000000004</v>
      </c>
      <c r="H2532" s="247" t="s">
        <v>192</v>
      </c>
      <c r="I2532" s="469" t="s">
        <v>3360</v>
      </c>
      <c r="J2532" s="247" t="s">
        <v>97</v>
      </c>
      <c r="K2532" s="247" t="s">
        <v>1133</v>
      </c>
      <c r="L2532" s="247" t="s">
        <v>154</v>
      </c>
      <c r="M2532" s="76"/>
      <c r="N2532" s="76"/>
    </row>
    <row r="2533" spans="1:14" ht="15.6">
      <c r="A2533" s="471">
        <v>45919</v>
      </c>
      <c r="B2533" s="469" t="s">
        <v>3356</v>
      </c>
      <c r="C2533" s="247" t="s">
        <v>173</v>
      </c>
      <c r="D2533" s="247" t="s">
        <v>116</v>
      </c>
      <c r="E2533" s="468">
        <v>1500</v>
      </c>
      <c r="F2533" s="463">
        <f t="shared" si="31"/>
        <v>2.8116055579818666</v>
      </c>
      <c r="G2533" s="464">
        <v>533.50300000000004</v>
      </c>
      <c r="H2533" s="247" t="s">
        <v>192</v>
      </c>
      <c r="I2533" s="469" t="s">
        <v>3360</v>
      </c>
      <c r="J2533" s="247" t="s">
        <v>97</v>
      </c>
      <c r="K2533" s="247" t="s">
        <v>1133</v>
      </c>
      <c r="L2533" s="247" t="s">
        <v>154</v>
      </c>
      <c r="M2533" s="76"/>
      <c r="N2533" s="76"/>
    </row>
    <row r="2534" spans="1:14" ht="15.6">
      <c r="A2534" s="471">
        <v>45919</v>
      </c>
      <c r="B2534" s="469" t="s">
        <v>3357</v>
      </c>
      <c r="C2534" s="247" t="s">
        <v>173</v>
      </c>
      <c r="D2534" s="247" t="s">
        <v>116</v>
      </c>
      <c r="E2534" s="468">
        <v>1000</v>
      </c>
      <c r="F2534" s="463">
        <f t="shared" ref="F2534:F2597" si="32">E2534/G2534</f>
        <v>1.8744037053212446</v>
      </c>
      <c r="G2534" s="464">
        <v>533.50300000000004</v>
      </c>
      <c r="H2534" s="247" t="s">
        <v>192</v>
      </c>
      <c r="I2534" s="469" t="s">
        <v>3360</v>
      </c>
      <c r="J2534" s="247" t="s">
        <v>97</v>
      </c>
      <c r="K2534" s="247" t="s">
        <v>1133</v>
      </c>
      <c r="L2534" s="247" t="s">
        <v>154</v>
      </c>
      <c r="M2534" s="76"/>
      <c r="N2534" s="76"/>
    </row>
    <row r="2535" spans="1:14" ht="15.6">
      <c r="A2535" s="471">
        <v>45919</v>
      </c>
      <c r="B2535" s="469" t="s">
        <v>3358</v>
      </c>
      <c r="C2535" s="247" t="s">
        <v>173</v>
      </c>
      <c r="D2535" s="247" t="s">
        <v>116</v>
      </c>
      <c r="E2535" s="468">
        <v>2000</v>
      </c>
      <c r="F2535" s="463">
        <f t="shared" si="32"/>
        <v>3.7488074106424891</v>
      </c>
      <c r="G2535" s="464">
        <v>533.50300000000004</v>
      </c>
      <c r="H2535" s="247" t="s">
        <v>192</v>
      </c>
      <c r="I2535" s="469" t="s">
        <v>3360</v>
      </c>
      <c r="J2535" s="247" t="s">
        <v>97</v>
      </c>
      <c r="K2535" s="247" t="s">
        <v>1133</v>
      </c>
      <c r="L2535" s="247" t="s">
        <v>154</v>
      </c>
      <c r="M2535" s="76"/>
      <c r="N2535" s="76"/>
    </row>
    <row r="2536" spans="1:14" ht="15.6">
      <c r="A2536" s="471">
        <v>45919</v>
      </c>
      <c r="B2536" s="469" t="s">
        <v>818</v>
      </c>
      <c r="C2536" s="469" t="s">
        <v>171</v>
      </c>
      <c r="D2536" s="469" t="s">
        <v>117</v>
      </c>
      <c r="E2536" s="468">
        <v>31250</v>
      </c>
      <c r="F2536" s="463">
        <f t="shared" si="32"/>
        <v>58.575115791288894</v>
      </c>
      <c r="G2536" s="464">
        <v>533.50300000000004</v>
      </c>
      <c r="H2536" s="469" t="s">
        <v>192</v>
      </c>
      <c r="I2536" s="247" t="s">
        <v>3372</v>
      </c>
      <c r="J2536" s="247" t="s">
        <v>97</v>
      </c>
      <c r="K2536" s="247" t="s">
        <v>1133</v>
      </c>
      <c r="L2536" s="247" t="s">
        <v>154</v>
      </c>
      <c r="M2536" s="76"/>
      <c r="N2536" s="76"/>
    </row>
    <row r="2537" spans="1:14" ht="15.6">
      <c r="A2537" s="476">
        <v>45919</v>
      </c>
      <c r="B2537" s="487" t="s">
        <v>3585</v>
      </c>
      <c r="C2537" s="486" t="s">
        <v>122</v>
      </c>
      <c r="D2537" s="489" t="s">
        <v>116</v>
      </c>
      <c r="E2537" s="468">
        <v>150000</v>
      </c>
      <c r="F2537" s="463">
        <f t="shared" si="32"/>
        <v>267.40732553454723</v>
      </c>
      <c r="G2537" s="464">
        <v>560.94200000000001</v>
      </c>
      <c r="H2537" s="466" t="s">
        <v>147</v>
      </c>
      <c r="I2537" s="466" t="s">
        <v>3600</v>
      </c>
      <c r="J2537" s="247" t="s">
        <v>97</v>
      </c>
      <c r="K2537" s="247" t="s">
        <v>1903</v>
      </c>
      <c r="L2537" s="247" t="s">
        <v>154</v>
      </c>
      <c r="M2537" s="76"/>
      <c r="N2537" s="76"/>
    </row>
    <row r="2538" spans="1:14" ht="15.6">
      <c r="A2538" s="476">
        <v>45920</v>
      </c>
      <c r="B2538" s="469" t="s">
        <v>2100</v>
      </c>
      <c r="C2538" s="462" t="s">
        <v>173</v>
      </c>
      <c r="D2538" s="462" t="s">
        <v>118</v>
      </c>
      <c r="E2538" s="359">
        <v>1000</v>
      </c>
      <c r="F2538" s="463">
        <f t="shared" si="32"/>
        <v>1.8744037053212446</v>
      </c>
      <c r="G2538" s="464">
        <v>533.50300000000004</v>
      </c>
      <c r="H2538" s="465" t="s">
        <v>152</v>
      </c>
      <c r="I2538" s="469" t="s">
        <v>2868</v>
      </c>
      <c r="J2538" s="247" t="s">
        <v>97</v>
      </c>
      <c r="K2538" s="247" t="s">
        <v>1133</v>
      </c>
      <c r="L2538" s="247" t="s">
        <v>154</v>
      </c>
      <c r="M2538" s="414"/>
      <c r="N2538" s="414"/>
    </row>
    <row r="2539" spans="1:14" ht="15.6">
      <c r="A2539" s="476">
        <v>45920</v>
      </c>
      <c r="B2539" s="469" t="s">
        <v>2101</v>
      </c>
      <c r="C2539" s="462" t="s">
        <v>173</v>
      </c>
      <c r="D2539" s="462" t="s">
        <v>118</v>
      </c>
      <c r="E2539" s="359">
        <v>1000</v>
      </c>
      <c r="F2539" s="463">
        <f t="shared" si="32"/>
        <v>1.8744037053212446</v>
      </c>
      <c r="G2539" s="464">
        <v>533.50300000000004</v>
      </c>
      <c r="H2539" s="465" t="s">
        <v>152</v>
      </c>
      <c r="I2539" s="469" t="s">
        <v>2868</v>
      </c>
      <c r="J2539" s="247" t="s">
        <v>97</v>
      </c>
      <c r="K2539" s="247" t="s">
        <v>1133</v>
      </c>
      <c r="L2539" s="247" t="s">
        <v>154</v>
      </c>
      <c r="M2539" s="414"/>
      <c r="N2539" s="414"/>
    </row>
    <row r="2540" spans="1:14" ht="15.6">
      <c r="A2540" s="476">
        <v>45920</v>
      </c>
      <c r="B2540" s="469" t="s">
        <v>3958</v>
      </c>
      <c r="C2540" s="469" t="s">
        <v>1007</v>
      </c>
      <c r="D2540" s="179" t="s">
        <v>442</v>
      </c>
      <c r="E2540" s="469">
        <v>1000</v>
      </c>
      <c r="F2540" s="463">
        <f t="shared" si="32"/>
        <v>1.8744037053212446</v>
      </c>
      <c r="G2540" s="464">
        <v>533.50300000000004</v>
      </c>
      <c r="H2540" s="469" t="s">
        <v>174</v>
      </c>
      <c r="I2540" s="469" t="s">
        <v>3196</v>
      </c>
      <c r="J2540" s="247" t="s">
        <v>97</v>
      </c>
      <c r="K2540" s="247" t="s">
        <v>1133</v>
      </c>
      <c r="L2540" s="247" t="s">
        <v>154</v>
      </c>
      <c r="M2540" s="335"/>
      <c r="N2540" s="335"/>
    </row>
    <row r="2541" spans="1:14" ht="15.6">
      <c r="A2541" s="476">
        <v>45920</v>
      </c>
      <c r="B2541" s="469" t="s">
        <v>3959</v>
      </c>
      <c r="C2541" s="469" t="s">
        <v>1007</v>
      </c>
      <c r="D2541" s="179" t="s">
        <v>442</v>
      </c>
      <c r="E2541" s="469">
        <v>2500</v>
      </c>
      <c r="F2541" s="463">
        <f t="shared" si="32"/>
        <v>4.6860092633031112</v>
      </c>
      <c r="G2541" s="464">
        <v>533.50300000000004</v>
      </c>
      <c r="H2541" s="469" t="s">
        <v>174</v>
      </c>
      <c r="I2541" s="469" t="s">
        <v>3196</v>
      </c>
      <c r="J2541" s="247" t="s">
        <v>97</v>
      </c>
      <c r="K2541" s="247" t="s">
        <v>1133</v>
      </c>
      <c r="L2541" s="247" t="s">
        <v>154</v>
      </c>
      <c r="M2541" s="335"/>
      <c r="N2541" s="335"/>
    </row>
    <row r="2542" spans="1:14" ht="15.6">
      <c r="A2542" s="476">
        <v>45920</v>
      </c>
      <c r="B2542" s="469" t="s">
        <v>3954</v>
      </c>
      <c r="C2542" s="469" t="s">
        <v>1007</v>
      </c>
      <c r="D2542" s="179" t="s">
        <v>442</v>
      </c>
      <c r="E2542" s="469">
        <v>2500</v>
      </c>
      <c r="F2542" s="463">
        <f t="shared" si="32"/>
        <v>4.6860092633031112</v>
      </c>
      <c r="G2542" s="464">
        <v>533.50300000000004</v>
      </c>
      <c r="H2542" s="469" t="s">
        <v>174</v>
      </c>
      <c r="I2542" s="469" t="s">
        <v>3196</v>
      </c>
      <c r="J2542" s="247" t="s">
        <v>97</v>
      </c>
      <c r="K2542" s="247" t="s">
        <v>1133</v>
      </c>
      <c r="L2542" s="247" t="s">
        <v>154</v>
      </c>
      <c r="M2542" s="335"/>
      <c r="N2542" s="335"/>
    </row>
    <row r="2543" spans="1:14" ht="15.6">
      <c r="A2543" s="476">
        <v>45920</v>
      </c>
      <c r="B2543" s="469" t="s">
        <v>3959</v>
      </c>
      <c r="C2543" s="469" t="s">
        <v>1007</v>
      </c>
      <c r="D2543" s="179" t="s">
        <v>442</v>
      </c>
      <c r="E2543" s="469">
        <v>1000</v>
      </c>
      <c r="F2543" s="463">
        <f t="shared" si="32"/>
        <v>1.8744037053212446</v>
      </c>
      <c r="G2543" s="464">
        <v>533.50300000000004</v>
      </c>
      <c r="H2543" s="469" t="s">
        <v>174</v>
      </c>
      <c r="I2543" s="469" t="s">
        <v>3196</v>
      </c>
      <c r="J2543" s="247" t="s">
        <v>97</v>
      </c>
      <c r="K2543" s="247" t="s">
        <v>1133</v>
      </c>
      <c r="L2543" s="247" t="s">
        <v>154</v>
      </c>
      <c r="M2543" s="335"/>
      <c r="N2543" s="335"/>
    </row>
    <row r="2544" spans="1:14" ht="15.6">
      <c r="A2544" s="476">
        <v>45921</v>
      </c>
      <c r="B2544" s="469" t="s">
        <v>2100</v>
      </c>
      <c r="C2544" s="462" t="s">
        <v>173</v>
      </c>
      <c r="D2544" s="462" t="s">
        <v>118</v>
      </c>
      <c r="E2544" s="359">
        <v>1000</v>
      </c>
      <c r="F2544" s="463">
        <f t="shared" si="32"/>
        <v>1.8744037053212446</v>
      </c>
      <c r="G2544" s="464">
        <v>533.50300000000004</v>
      </c>
      <c r="H2544" s="465" t="s">
        <v>152</v>
      </c>
      <c r="I2544" s="469" t="s">
        <v>2868</v>
      </c>
      <c r="J2544" s="247" t="s">
        <v>97</v>
      </c>
      <c r="K2544" s="247" t="s">
        <v>1133</v>
      </c>
      <c r="L2544" s="247" t="s">
        <v>154</v>
      </c>
      <c r="M2544" s="414"/>
      <c r="N2544" s="414"/>
    </row>
    <row r="2545" spans="1:14" ht="15.6">
      <c r="A2545" s="476">
        <v>45921</v>
      </c>
      <c r="B2545" s="469" t="s">
        <v>2101</v>
      </c>
      <c r="C2545" s="462" t="s">
        <v>173</v>
      </c>
      <c r="D2545" s="462" t="s">
        <v>118</v>
      </c>
      <c r="E2545" s="359">
        <v>1000</v>
      </c>
      <c r="F2545" s="463">
        <f t="shared" si="32"/>
        <v>1.8744037053212446</v>
      </c>
      <c r="G2545" s="464">
        <v>533.50300000000004</v>
      </c>
      <c r="H2545" s="465" t="s">
        <v>152</v>
      </c>
      <c r="I2545" s="469" t="s">
        <v>2868</v>
      </c>
      <c r="J2545" s="247" t="s">
        <v>97</v>
      </c>
      <c r="K2545" s="247" t="s">
        <v>1133</v>
      </c>
      <c r="L2545" s="247" t="s">
        <v>154</v>
      </c>
      <c r="M2545" s="335"/>
      <c r="N2545" s="335"/>
    </row>
    <row r="2546" spans="1:14" ht="15.6">
      <c r="A2546" s="476">
        <v>45921</v>
      </c>
      <c r="B2546" s="469" t="s">
        <v>3958</v>
      </c>
      <c r="C2546" s="469" t="s">
        <v>1007</v>
      </c>
      <c r="D2546" s="179" t="s">
        <v>442</v>
      </c>
      <c r="E2546" s="469">
        <v>1000</v>
      </c>
      <c r="F2546" s="463">
        <f t="shared" si="32"/>
        <v>1.8744037053212446</v>
      </c>
      <c r="G2546" s="464">
        <v>533.50300000000004</v>
      </c>
      <c r="H2546" s="469" t="s">
        <v>174</v>
      </c>
      <c r="I2546" s="469" t="s">
        <v>3196</v>
      </c>
      <c r="J2546" s="247" t="s">
        <v>97</v>
      </c>
      <c r="K2546" s="247" t="s">
        <v>1133</v>
      </c>
      <c r="L2546" s="247" t="s">
        <v>154</v>
      </c>
      <c r="M2546" s="335"/>
      <c r="N2546" s="335"/>
    </row>
    <row r="2547" spans="1:14" ht="15.6">
      <c r="A2547" s="476">
        <v>45921</v>
      </c>
      <c r="B2547" s="469" t="s">
        <v>3960</v>
      </c>
      <c r="C2547" s="469" t="s">
        <v>1007</v>
      </c>
      <c r="D2547" s="179" t="s">
        <v>442</v>
      </c>
      <c r="E2547" s="469">
        <v>2500</v>
      </c>
      <c r="F2547" s="463">
        <f t="shared" si="32"/>
        <v>4.6860092633031112</v>
      </c>
      <c r="G2547" s="464">
        <v>533.50300000000004</v>
      </c>
      <c r="H2547" s="469" t="s">
        <v>174</v>
      </c>
      <c r="I2547" s="469" t="s">
        <v>3196</v>
      </c>
      <c r="J2547" s="247" t="s">
        <v>97</v>
      </c>
      <c r="K2547" s="247" t="s">
        <v>1133</v>
      </c>
      <c r="L2547" s="247" t="s">
        <v>154</v>
      </c>
      <c r="M2547" s="335"/>
      <c r="N2547" s="335"/>
    </row>
    <row r="2548" spans="1:14" ht="15.6">
      <c r="A2548" s="476">
        <v>45921</v>
      </c>
      <c r="B2548" s="469" t="s">
        <v>3959</v>
      </c>
      <c r="C2548" s="469" t="s">
        <v>1007</v>
      </c>
      <c r="D2548" s="179" t="s">
        <v>442</v>
      </c>
      <c r="E2548" s="469">
        <v>2500</v>
      </c>
      <c r="F2548" s="463">
        <f t="shared" si="32"/>
        <v>4.6860092633031112</v>
      </c>
      <c r="G2548" s="464">
        <v>533.50300000000004</v>
      </c>
      <c r="H2548" s="469" t="s">
        <v>174</v>
      </c>
      <c r="I2548" s="469" t="s">
        <v>3196</v>
      </c>
      <c r="J2548" s="247" t="s">
        <v>97</v>
      </c>
      <c r="K2548" s="247" t="s">
        <v>1133</v>
      </c>
      <c r="L2548" s="247" t="s">
        <v>154</v>
      </c>
      <c r="M2548" s="414"/>
      <c r="N2548" s="414"/>
    </row>
    <row r="2549" spans="1:14" ht="15.6">
      <c r="A2549" s="476">
        <v>45921</v>
      </c>
      <c r="B2549" s="469" t="s">
        <v>3956</v>
      </c>
      <c r="C2549" s="469" t="s">
        <v>1007</v>
      </c>
      <c r="D2549" s="179" t="s">
        <v>442</v>
      </c>
      <c r="E2549" s="469">
        <v>1000</v>
      </c>
      <c r="F2549" s="463">
        <f t="shared" si="32"/>
        <v>1.8744037053212446</v>
      </c>
      <c r="G2549" s="464">
        <v>533.50300000000004</v>
      </c>
      <c r="H2549" s="469" t="s">
        <v>174</v>
      </c>
      <c r="I2549" s="469" t="s">
        <v>3196</v>
      </c>
      <c r="J2549" s="247" t="s">
        <v>97</v>
      </c>
      <c r="K2549" s="247" t="s">
        <v>1133</v>
      </c>
      <c r="L2549" s="247" t="s">
        <v>154</v>
      </c>
      <c r="M2549" s="414"/>
      <c r="N2549" s="414"/>
    </row>
    <row r="2550" spans="1:14" ht="15.6">
      <c r="A2550" s="476">
        <v>45921</v>
      </c>
      <c r="B2550" s="469" t="s">
        <v>3169</v>
      </c>
      <c r="C2550" s="469" t="s">
        <v>368</v>
      </c>
      <c r="D2550" s="179" t="s">
        <v>442</v>
      </c>
      <c r="E2550" s="469">
        <v>1500</v>
      </c>
      <c r="F2550" s="463">
        <f t="shared" si="32"/>
        <v>2.8116055579818666</v>
      </c>
      <c r="G2550" s="464">
        <v>533.50300000000004</v>
      </c>
      <c r="H2550" s="469" t="s">
        <v>174</v>
      </c>
      <c r="I2550" s="469" t="s">
        <v>3201</v>
      </c>
      <c r="J2550" s="247" t="s">
        <v>97</v>
      </c>
      <c r="K2550" s="247" t="s">
        <v>1133</v>
      </c>
      <c r="L2550" s="247" t="s">
        <v>154</v>
      </c>
      <c r="M2550" s="414"/>
      <c r="N2550" s="414"/>
    </row>
    <row r="2551" spans="1:14" ht="15.6">
      <c r="A2551" s="476">
        <v>45922</v>
      </c>
      <c r="B2551" s="469" t="s">
        <v>2100</v>
      </c>
      <c r="C2551" s="462" t="s">
        <v>173</v>
      </c>
      <c r="D2551" s="462" t="s">
        <v>118</v>
      </c>
      <c r="E2551" s="359">
        <v>1000</v>
      </c>
      <c r="F2551" s="463">
        <f t="shared" si="32"/>
        <v>1.8744037053212446</v>
      </c>
      <c r="G2551" s="464">
        <v>533.50300000000004</v>
      </c>
      <c r="H2551" s="465" t="s">
        <v>152</v>
      </c>
      <c r="I2551" s="469" t="s">
        <v>2868</v>
      </c>
      <c r="J2551" s="247" t="s">
        <v>97</v>
      </c>
      <c r="K2551" s="247" t="s">
        <v>1133</v>
      </c>
      <c r="L2551" s="247" t="s">
        <v>154</v>
      </c>
      <c r="M2551" s="335"/>
      <c r="N2551" s="335"/>
    </row>
    <row r="2552" spans="1:14" ht="15.6">
      <c r="A2552" s="476">
        <v>45922</v>
      </c>
      <c r="B2552" s="469" t="s">
        <v>2101</v>
      </c>
      <c r="C2552" s="462" t="s">
        <v>173</v>
      </c>
      <c r="D2552" s="462" t="s">
        <v>118</v>
      </c>
      <c r="E2552" s="359">
        <v>1000</v>
      </c>
      <c r="F2552" s="463">
        <f t="shared" si="32"/>
        <v>1.8744037053212446</v>
      </c>
      <c r="G2552" s="464">
        <v>533.50300000000004</v>
      </c>
      <c r="H2552" s="465" t="s">
        <v>152</v>
      </c>
      <c r="I2552" s="469" t="s">
        <v>2868</v>
      </c>
      <c r="J2552" s="247" t="s">
        <v>97</v>
      </c>
      <c r="K2552" s="247" t="s">
        <v>1133</v>
      </c>
      <c r="L2552" s="247" t="s">
        <v>154</v>
      </c>
      <c r="M2552" s="414"/>
      <c r="N2552" s="414"/>
    </row>
    <row r="2553" spans="1:14" ht="15.6">
      <c r="A2553" s="467">
        <v>45922</v>
      </c>
      <c r="B2553" s="469" t="s">
        <v>2942</v>
      </c>
      <c r="C2553" s="469" t="s">
        <v>173</v>
      </c>
      <c r="D2553" s="469" t="s">
        <v>117</v>
      </c>
      <c r="E2553" s="470">
        <v>1000</v>
      </c>
      <c r="F2553" s="463">
        <f t="shared" si="32"/>
        <v>1.8744037053212446</v>
      </c>
      <c r="G2553" s="464">
        <v>533.50300000000004</v>
      </c>
      <c r="H2553" s="469" t="s">
        <v>583</v>
      </c>
      <c r="I2553" s="469" t="s">
        <v>2970</v>
      </c>
      <c r="J2553" s="247" t="s">
        <v>97</v>
      </c>
      <c r="K2553" s="247" t="s">
        <v>1133</v>
      </c>
      <c r="L2553" s="247" t="s">
        <v>154</v>
      </c>
      <c r="M2553" s="335"/>
      <c r="N2553" s="335"/>
    </row>
    <row r="2554" spans="1:14" ht="15.6">
      <c r="A2554" s="467">
        <v>45922</v>
      </c>
      <c r="B2554" s="469" t="s">
        <v>2940</v>
      </c>
      <c r="C2554" s="469" t="s">
        <v>173</v>
      </c>
      <c r="D2554" s="469" t="s">
        <v>117</v>
      </c>
      <c r="E2554" s="470">
        <v>1000</v>
      </c>
      <c r="F2554" s="463">
        <f t="shared" si="32"/>
        <v>1.8744037053212446</v>
      </c>
      <c r="G2554" s="464">
        <v>533.50300000000004</v>
      </c>
      <c r="H2554" s="469" t="s">
        <v>583</v>
      </c>
      <c r="I2554" s="469" t="s">
        <v>2970</v>
      </c>
      <c r="J2554" s="247" t="s">
        <v>97</v>
      </c>
      <c r="K2554" s="247" t="s">
        <v>1133</v>
      </c>
      <c r="L2554" s="247" t="s">
        <v>154</v>
      </c>
      <c r="M2554" s="335"/>
      <c r="N2554" s="335"/>
    </row>
    <row r="2555" spans="1:14" ht="15.6">
      <c r="A2555" s="474">
        <v>45922</v>
      </c>
      <c r="B2555" s="475" t="s">
        <v>3823</v>
      </c>
      <c r="C2555" s="475" t="s">
        <v>173</v>
      </c>
      <c r="D2555" s="179" t="s">
        <v>442</v>
      </c>
      <c r="E2555" s="475">
        <v>1000</v>
      </c>
      <c r="F2555" s="463">
        <f t="shared" si="32"/>
        <v>1.8744037053212446</v>
      </c>
      <c r="G2555" s="464">
        <v>533.50300000000004</v>
      </c>
      <c r="H2555" s="475" t="s">
        <v>183</v>
      </c>
      <c r="I2555" s="475" t="s">
        <v>3086</v>
      </c>
      <c r="J2555" s="247" t="s">
        <v>97</v>
      </c>
      <c r="K2555" s="247" t="s">
        <v>1133</v>
      </c>
      <c r="L2555" s="247" t="s">
        <v>154</v>
      </c>
      <c r="M2555" s="414"/>
      <c r="N2555" s="414"/>
    </row>
    <row r="2556" spans="1:14" ht="15.6">
      <c r="A2556" s="474">
        <v>45922</v>
      </c>
      <c r="B2556" s="475" t="s">
        <v>3834</v>
      </c>
      <c r="C2556" s="475" t="s">
        <v>173</v>
      </c>
      <c r="D2556" s="179" t="s">
        <v>442</v>
      </c>
      <c r="E2556" s="475">
        <v>1000</v>
      </c>
      <c r="F2556" s="463">
        <f t="shared" si="32"/>
        <v>1.8744037053212446</v>
      </c>
      <c r="G2556" s="464">
        <v>533.50300000000004</v>
      </c>
      <c r="H2556" s="475" t="s">
        <v>183</v>
      </c>
      <c r="I2556" s="475" t="s">
        <v>3086</v>
      </c>
      <c r="J2556" s="247" t="s">
        <v>97</v>
      </c>
      <c r="K2556" s="247" t="s">
        <v>1133</v>
      </c>
      <c r="L2556" s="247" t="s">
        <v>154</v>
      </c>
      <c r="M2556" s="414"/>
      <c r="N2556" s="414"/>
    </row>
    <row r="2557" spans="1:14" ht="15.6">
      <c r="A2557" s="476">
        <v>45922</v>
      </c>
      <c r="B2557" s="469" t="s">
        <v>3138</v>
      </c>
      <c r="C2557" s="469" t="s">
        <v>173</v>
      </c>
      <c r="D2557" s="179" t="s">
        <v>442</v>
      </c>
      <c r="E2557" s="469">
        <v>1000</v>
      </c>
      <c r="F2557" s="463">
        <f t="shared" si="32"/>
        <v>1.8744037053212446</v>
      </c>
      <c r="G2557" s="464">
        <v>533.50300000000004</v>
      </c>
      <c r="H2557" s="469" t="s">
        <v>174</v>
      </c>
      <c r="I2557" s="469" t="s">
        <v>3196</v>
      </c>
      <c r="J2557" s="247" t="s">
        <v>97</v>
      </c>
      <c r="K2557" s="247" t="s">
        <v>1133</v>
      </c>
      <c r="L2557" s="247" t="s">
        <v>154</v>
      </c>
      <c r="M2557" s="414"/>
      <c r="N2557" s="414"/>
    </row>
    <row r="2558" spans="1:14" ht="15.6">
      <c r="A2558" s="476">
        <v>45922</v>
      </c>
      <c r="B2558" s="469" t="s">
        <v>3961</v>
      </c>
      <c r="C2558" s="469" t="s">
        <v>173</v>
      </c>
      <c r="D2558" s="179" t="s">
        <v>442</v>
      </c>
      <c r="E2558" s="469">
        <v>1000</v>
      </c>
      <c r="F2558" s="463">
        <f t="shared" si="32"/>
        <v>1.8744037053212446</v>
      </c>
      <c r="G2558" s="464">
        <v>533.50300000000004</v>
      </c>
      <c r="H2558" s="469" t="s">
        <v>174</v>
      </c>
      <c r="I2558" s="469" t="s">
        <v>3196</v>
      </c>
      <c r="J2558" s="247" t="s">
        <v>97</v>
      </c>
      <c r="K2558" s="247" t="s">
        <v>1133</v>
      </c>
      <c r="L2558" s="247" t="s">
        <v>154</v>
      </c>
      <c r="M2558" s="414"/>
      <c r="N2558" s="414"/>
    </row>
    <row r="2559" spans="1:14" ht="15.6">
      <c r="A2559" s="471">
        <v>45922</v>
      </c>
      <c r="B2559" s="247" t="s">
        <v>584</v>
      </c>
      <c r="C2559" s="469" t="s">
        <v>368</v>
      </c>
      <c r="D2559" s="179" t="s">
        <v>442</v>
      </c>
      <c r="E2559" s="468">
        <v>35000</v>
      </c>
      <c r="F2559" s="463">
        <f t="shared" si="32"/>
        <v>65.604129686243553</v>
      </c>
      <c r="G2559" s="464">
        <v>533.50300000000004</v>
      </c>
      <c r="H2559" s="247" t="s">
        <v>186</v>
      </c>
      <c r="I2559" s="247" t="s">
        <v>3511</v>
      </c>
      <c r="J2559" s="247" t="s">
        <v>97</v>
      </c>
      <c r="K2559" s="247" t="s">
        <v>1133</v>
      </c>
      <c r="L2559" s="247" t="s">
        <v>154</v>
      </c>
      <c r="M2559" s="76"/>
      <c r="N2559" s="76"/>
    </row>
    <row r="2560" spans="1:14" ht="15.6">
      <c r="A2560" s="471">
        <v>45922</v>
      </c>
      <c r="B2560" s="247" t="s">
        <v>3498</v>
      </c>
      <c r="C2560" s="469" t="s">
        <v>181</v>
      </c>
      <c r="D2560" s="469" t="s">
        <v>117</v>
      </c>
      <c r="E2560" s="482">
        <v>2278</v>
      </c>
      <c r="F2560" s="463">
        <f t="shared" si="32"/>
        <v>4.2698916407217951</v>
      </c>
      <c r="G2560" s="464">
        <v>533.50300000000004</v>
      </c>
      <c r="H2560" s="469" t="s">
        <v>186</v>
      </c>
      <c r="I2560" s="247" t="s">
        <v>3512</v>
      </c>
      <c r="J2560" s="247" t="s">
        <v>97</v>
      </c>
      <c r="K2560" s="247" t="s">
        <v>1133</v>
      </c>
      <c r="L2560" s="247" t="s">
        <v>154</v>
      </c>
      <c r="M2560" s="76"/>
      <c r="N2560" s="76"/>
    </row>
    <row r="2561" spans="1:14" ht="15.6">
      <c r="A2561" s="476">
        <v>45923</v>
      </c>
      <c r="B2561" s="469" t="s">
        <v>2100</v>
      </c>
      <c r="C2561" s="462" t="s">
        <v>173</v>
      </c>
      <c r="D2561" s="462" t="s">
        <v>118</v>
      </c>
      <c r="E2561" s="359">
        <v>1000</v>
      </c>
      <c r="F2561" s="463">
        <f t="shared" si="32"/>
        <v>1.8744037053212446</v>
      </c>
      <c r="G2561" s="464">
        <v>533.50300000000004</v>
      </c>
      <c r="H2561" s="465" t="s">
        <v>152</v>
      </c>
      <c r="I2561" s="469" t="s">
        <v>2868</v>
      </c>
      <c r="J2561" s="247" t="s">
        <v>97</v>
      </c>
      <c r="K2561" s="247" t="s">
        <v>1133</v>
      </c>
      <c r="L2561" s="247" t="s">
        <v>154</v>
      </c>
      <c r="M2561" s="414"/>
      <c r="N2561" s="414"/>
    </row>
    <row r="2562" spans="1:14" ht="15.6">
      <c r="A2562" s="476">
        <v>45923</v>
      </c>
      <c r="B2562" s="469" t="s">
        <v>2859</v>
      </c>
      <c r="C2562" s="462" t="s">
        <v>173</v>
      </c>
      <c r="D2562" s="462" t="s">
        <v>118</v>
      </c>
      <c r="E2562" s="359">
        <v>1000</v>
      </c>
      <c r="F2562" s="463">
        <f t="shared" si="32"/>
        <v>1.8744037053212446</v>
      </c>
      <c r="G2562" s="464">
        <v>533.50300000000004</v>
      </c>
      <c r="H2562" s="465" t="s">
        <v>152</v>
      </c>
      <c r="I2562" s="469" t="s">
        <v>2868</v>
      </c>
      <c r="J2562" s="247" t="s">
        <v>97</v>
      </c>
      <c r="K2562" s="247" t="s">
        <v>1133</v>
      </c>
      <c r="L2562" s="247" t="s">
        <v>154</v>
      </c>
      <c r="M2562" s="414"/>
      <c r="N2562" s="414"/>
    </row>
    <row r="2563" spans="1:14" ht="15.6">
      <c r="A2563" s="476">
        <v>45923</v>
      </c>
      <c r="B2563" s="469" t="s">
        <v>2860</v>
      </c>
      <c r="C2563" s="462" t="s">
        <v>173</v>
      </c>
      <c r="D2563" s="462" t="s">
        <v>118</v>
      </c>
      <c r="E2563" s="359">
        <v>1000</v>
      </c>
      <c r="F2563" s="463">
        <f t="shared" si="32"/>
        <v>1.8744037053212446</v>
      </c>
      <c r="G2563" s="464">
        <v>533.50300000000004</v>
      </c>
      <c r="H2563" s="465" t="s">
        <v>152</v>
      </c>
      <c r="I2563" s="469" t="s">
        <v>2868</v>
      </c>
      <c r="J2563" s="247" t="s">
        <v>97</v>
      </c>
      <c r="K2563" s="247" t="s">
        <v>1133</v>
      </c>
      <c r="L2563" s="247" t="s">
        <v>154</v>
      </c>
      <c r="M2563" s="414"/>
      <c r="N2563" s="414"/>
    </row>
    <row r="2564" spans="1:14" ht="15.6">
      <c r="A2564" s="476">
        <v>45923</v>
      </c>
      <c r="B2564" s="469" t="s">
        <v>2101</v>
      </c>
      <c r="C2564" s="462" t="s">
        <v>173</v>
      </c>
      <c r="D2564" s="462" t="s">
        <v>118</v>
      </c>
      <c r="E2564" s="359">
        <v>1000</v>
      </c>
      <c r="F2564" s="463">
        <f t="shared" si="32"/>
        <v>1.8744037053212446</v>
      </c>
      <c r="G2564" s="464">
        <v>533.50300000000004</v>
      </c>
      <c r="H2564" s="465" t="s">
        <v>152</v>
      </c>
      <c r="I2564" s="469" t="s">
        <v>2868</v>
      </c>
      <c r="J2564" s="247" t="s">
        <v>97</v>
      </c>
      <c r="K2564" s="247" t="s">
        <v>1133</v>
      </c>
      <c r="L2564" s="247" t="s">
        <v>154</v>
      </c>
      <c r="M2564" s="414"/>
      <c r="N2564" s="414"/>
    </row>
    <row r="2565" spans="1:14" ht="15.6">
      <c r="A2565" s="467">
        <v>45923</v>
      </c>
      <c r="B2565" s="469" t="s">
        <v>2945</v>
      </c>
      <c r="C2565" s="469" t="s">
        <v>173</v>
      </c>
      <c r="D2565" s="469" t="s">
        <v>117</v>
      </c>
      <c r="E2565" s="470">
        <v>500</v>
      </c>
      <c r="F2565" s="463">
        <f t="shared" si="32"/>
        <v>0.93720185266062228</v>
      </c>
      <c r="G2565" s="464">
        <v>533.50300000000004</v>
      </c>
      <c r="H2565" s="469" t="s">
        <v>583</v>
      </c>
      <c r="I2565" s="469" t="s">
        <v>2970</v>
      </c>
      <c r="J2565" s="247" t="s">
        <v>97</v>
      </c>
      <c r="K2565" s="247" t="s">
        <v>1133</v>
      </c>
      <c r="L2565" s="247" t="s">
        <v>154</v>
      </c>
      <c r="M2565" s="335"/>
      <c r="N2565" s="335"/>
    </row>
    <row r="2566" spans="1:14" ht="15.6">
      <c r="A2566" s="467">
        <v>45923</v>
      </c>
      <c r="B2566" s="469" t="s">
        <v>2946</v>
      </c>
      <c r="C2566" s="469" t="s">
        <v>173</v>
      </c>
      <c r="D2566" s="469" t="s">
        <v>117</v>
      </c>
      <c r="E2566" s="470">
        <v>500</v>
      </c>
      <c r="F2566" s="463">
        <f t="shared" si="32"/>
        <v>0.93720185266062228</v>
      </c>
      <c r="G2566" s="464">
        <v>533.50300000000004</v>
      </c>
      <c r="H2566" s="469" t="s">
        <v>583</v>
      </c>
      <c r="I2566" s="469" t="s">
        <v>2970</v>
      </c>
      <c r="J2566" s="247" t="s">
        <v>97</v>
      </c>
      <c r="K2566" s="247" t="s">
        <v>1133</v>
      </c>
      <c r="L2566" s="247" t="s">
        <v>154</v>
      </c>
      <c r="M2566" s="179"/>
      <c r="N2566" s="335"/>
    </row>
    <row r="2567" spans="1:14" ht="15.6">
      <c r="A2567" s="471">
        <v>45923</v>
      </c>
      <c r="B2567" s="247" t="s">
        <v>2949</v>
      </c>
      <c r="C2567" s="469" t="s">
        <v>181</v>
      </c>
      <c r="D2567" s="469" t="s">
        <v>117</v>
      </c>
      <c r="E2567" s="468">
        <v>2000</v>
      </c>
      <c r="F2567" s="463">
        <f t="shared" si="32"/>
        <v>3.7488074106424891</v>
      </c>
      <c r="G2567" s="464">
        <v>533.50300000000004</v>
      </c>
      <c r="H2567" s="469" t="s">
        <v>583</v>
      </c>
      <c r="I2567" s="247" t="s">
        <v>2980</v>
      </c>
      <c r="J2567" s="247" t="s">
        <v>97</v>
      </c>
      <c r="K2567" s="247" t="s">
        <v>1133</v>
      </c>
      <c r="L2567" s="247" t="s">
        <v>154</v>
      </c>
      <c r="M2567" s="335"/>
      <c r="N2567" s="335"/>
    </row>
    <row r="2568" spans="1:14" ht="15.6">
      <c r="A2568" s="474">
        <v>45923</v>
      </c>
      <c r="B2568" s="475" t="s">
        <v>3853</v>
      </c>
      <c r="C2568" s="475" t="s">
        <v>173</v>
      </c>
      <c r="D2568" s="179" t="s">
        <v>442</v>
      </c>
      <c r="E2568" s="475">
        <v>1000</v>
      </c>
      <c r="F2568" s="463">
        <f t="shared" si="32"/>
        <v>1.8744037053212446</v>
      </c>
      <c r="G2568" s="464">
        <v>533.50300000000004</v>
      </c>
      <c r="H2568" s="475" t="s">
        <v>183</v>
      </c>
      <c r="I2568" s="475" t="s">
        <v>3086</v>
      </c>
      <c r="J2568" s="247" t="s">
        <v>97</v>
      </c>
      <c r="K2568" s="247" t="s">
        <v>1133</v>
      </c>
      <c r="L2568" s="247" t="s">
        <v>154</v>
      </c>
      <c r="M2568" s="414"/>
      <c r="N2568" s="414"/>
    </row>
    <row r="2569" spans="1:14" ht="15.6">
      <c r="A2569" s="474">
        <v>45923</v>
      </c>
      <c r="B2569" s="475" t="s">
        <v>3855</v>
      </c>
      <c r="C2569" s="475" t="s">
        <v>173</v>
      </c>
      <c r="D2569" s="179" t="s">
        <v>442</v>
      </c>
      <c r="E2569" s="475">
        <v>1000</v>
      </c>
      <c r="F2569" s="463">
        <f t="shared" si="32"/>
        <v>1.8744037053212446</v>
      </c>
      <c r="G2569" s="464">
        <v>533.50300000000004</v>
      </c>
      <c r="H2569" s="475" t="s">
        <v>183</v>
      </c>
      <c r="I2569" s="475" t="s">
        <v>3086</v>
      </c>
      <c r="J2569" s="247" t="s">
        <v>97</v>
      </c>
      <c r="K2569" s="247" t="s">
        <v>1133</v>
      </c>
      <c r="L2569" s="247" t="s">
        <v>154</v>
      </c>
      <c r="M2569" s="414"/>
      <c r="N2569" s="414"/>
    </row>
    <row r="2570" spans="1:14" ht="15.6">
      <c r="A2570" s="474">
        <v>45923</v>
      </c>
      <c r="B2570" s="475" t="s">
        <v>3856</v>
      </c>
      <c r="C2570" s="475" t="s">
        <v>173</v>
      </c>
      <c r="D2570" s="179" t="s">
        <v>442</v>
      </c>
      <c r="E2570" s="475">
        <v>1000</v>
      </c>
      <c r="F2570" s="463">
        <f t="shared" si="32"/>
        <v>1.8744037053212446</v>
      </c>
      <c r="G2570" s="464">
        <v>533.50300000000004</v>
      </c>
      <c r="H2570" s="475" t="s">
        <v>183</v>
      </c>
      <c r="I2570" s="475" t="s">
        <v>3086</v>
      </c>
      <c r="J2570" s="247" t="s">
        <v>97</v>
      </c>
      <c r="K2570" s="247" t="s">
        <v>1133</v>
      </c>
      <c r="L2570" s="247" t="s">
        <v>154</v>
      </c>
      <c r="M2570" s="414"/>
      <c r="N2570" s="414"/>
    </row>
    <row r="2571" spans="1:14" ht="15.6">
      <c r="A2571" s="476">
        <v>45923</v>
      </c>
      <c r="B2571" s="469" t="s">
        <v>3962</v>
      </c>
      <c r="C2571" s="469" t="s">
        <v>173</v>
      </c>
      <c r="D2571" s="179" t="s">
        <v>442</v>
      </c>
      <c r="E2571" s="469">
        <v>1000</v>
      </c>
      <c r="F2571" s="463">
        <f t="shared" si="32"/>
        <v>1.8744037053212446</v>
      </c>
      <c r="G2571" s="464">
        <v>533.50300000000004</v>
      </c>
      <c r="H2571" s="469" t="s">
        <v>174</v>
      </c>
      <c r="I2571" s="469" t="s">
        <v>3196</v>
      </c>
      <c r="J2571" s="247" t="s">
        <v>97</v>
      </c>
      <c r="K2571" s="247" t="s">
        <v>1133</v>
      </c>
      <c r="L2571" s="247" t="s">
        <v>154</v>
      </c>
      <c r="M2571" s="414"/>
      <c r="N2571" s="414"/>
    </row>
    <row r="2572" spans="1:14" ht="15.6">
      <c r="A2572" s="476">
        <v>45923</v>
      </c>
      <c r="B2572" s="469" t="s">
        <v>3963</v>
      </c>
      <c r="C2572" s="469" t="s">
        <v>173</v>
      </c>
      <c r="D2572" s="179" t="s">
        <v>442</v>
      </c>
      <c r="E2572" s="469">
        <v>1000</v>
      </c>
      <c r="F2572" s="463">
        <f t="shared" si="32"/>
        <v>1.8744037053212446</v>
      </c>
      <c r="G2572" s="464">
        <v>533.50300000000004</v>
      </c>
      <c r="H2572" s="469" t="s">
        <v>174</v>
      </c>
      <c r="I2572" s="469" t="s">
        <v>3196</v>
      </c>
      <c r="J2572" s="247" t="s">
        <v>97</v>
      </c>
      <c r="K2572" s="247" t="s">
        <v>1133</v>
      </c>
      <c r="L2572" s="247" t="s">
        <v>154</v>
      </c>
      <c r="M2572" s="414"/>
      <c r="N2572" s="414"/>
    </row>
    <row r="2573" spans="1:14" ht="15.6">
      <c r="A2573" s="476">
        <v>45923</v>
      </c>
      <c r="B2573" s="469" t="s">
        <v>3964</v>
      </c>
      <c r="C2573" s="469" t="s">
        <v>173</v>
      </c>
      <c r="D2573" s="179" t="s">
        <v>442</v>
      </c>
      <c r="E2573" s="469">
        <v>1000</v>
      </c>
      <c r="F2573" s="463">
        <f t="shared" si="32"/>
        <v>1.8744037053212446</v>
      </c>
      <c r="G2573" s="464">
        <v>533.50300000000004</v>
      </c>
      <c r="H2573" s="469" t="s">
        <v>174</v>
      </c>
      <c r="I2573" s="469" t="s">
        <v>3196</v>
      </c>
      <c r="J2573" s="247" t="s">
        <v>97</v>
      </c>
      <c r="K2573" s="247" t="s">
        <v>1133</v>
      </c>
      <c r="L2573" s="247" t="s">
        <v>154</v>
      </c>
      <c r="M2573" s="414"/>
      <c r="N2573" s="414"/>
    </row>
    <row r="2574" spans="1:14" ht="15.6">
      <c r="A2574" s="476">
        <v>45923</v>
      </c>
      <c r="B2574" s="469" t="s">
        <v>3965</v>
      </c>
      <c r="C2574" s="469" t="s">
        <v>173</v>
      </c>
      <c r="D2574" s="179" t="s">
        <v>442</v>
      </c>
      <c r="E2574" s="469">
        <v>1000</v>
      </c>
      <c r="F2574" s="463">
        <f t="shared" si="32"/>
        <v>1.8744037053212446</v>
      </c>
      <c r="G2574" s="464">
        <v>533.50300000000004</v>
      </c>
      <c r="H2574" s="469" t="s">
        <v>174</v>
      </c>
      <c r="I2574" s="469" t="s">
        <v>3196</v>
      </c>
      <c r="J2574" s="247" t="s">
        <v>97</v>
      </c>
      <c r="K2574" s="247" t="s">
        <v>1133</v>
      </c>
      <c r="L2574" s="247" t="s">
        <v>154</v>
      </c>
      <c r="M2574" s="414"/>
      <c r="N2574" s="414"/>
    </row>
    <row r="2575" spans="1:14" ht="15.6">
      <c r="A2575" s="476">
        <v>45923</v>
      </c>
      <c r="B2575" s="469" t="s">
        <v>3964</v>
      </c>
      <c r="C2575" s="469" t="s">
        <v>173</v>
      </c>
      <c r="D2575" s="179" t="s">
        <v>442</v>
      </c>
      <c r="E2575" s="469">
        <v>1000</v>
      </c>
      <c r="F2575" s="463">
        <f t="shared" si="32"/>
        <v>1.8744037053212446</v>
      </c>
      <c r="G2575" s="464">
        <v>533.50300000000004</v>
      </c>
      <c r="H2575" s="469" t="s">
        <v>174</v>
      </c>
      <c r="I2575" s="469" t="s">
        <v>3196</v>
      </c>
      <c r="J2575" s="247" t="s">
        <v>97</v>
      </c>
      <c r="K2575" s="247" t="s">
        <v>1133</v>
      </c>
      <c r="L2575" s="247" t="s">
        <v>154</v>
      </c>
      <c r="M2575" s="414"/>
      <c r="N2575" s="414"/>
    </row>
    <row r="2576" spans="1:14" ht="15.6">
      <c r="A2576" s="476">
        <v>45923</v>
      </c>
      <c r="B2576" s="469" t="s">
        <v>3966</v>
      </c>
      <c r="C2576" s="469" t="s">
        <v>173</v>
      </c>
      <c r="D2576" s="179" t="s">
        <v>442</v>
      </c>
      <c r="E2576" s="469">
        <v>1000</v>
      </c>
      <c r="F2576" s="463">
        <f t="shared" si="32"/>
        <v>1.8744037053212446</v>
      </c>
      <c r="G2576" s="464">
        <v>533.50300000000004</v>
      </c>
      <c r="H2576" s="469" t="s">
        <v>174</v>
      </c>
      <c r="I2576" s="469" t="s">
        <v>3196</v>
      </c>
      <c r="J2576" s="247" t="s">
        <v>97</v>
      </c>
      <c r="K2576" s="247" t="s">
        <v>1133</v>
      </c>
      <c r="L2576" s="247" t="s">
        <v>154</v>
      </c>
      <c r="M2576" s="414"/>
      <c r="N2576" s="414"/>
    </row>
    <row r="2577" spans="1:14" ht="15.6">
      <c r="A2577" s="476">
        <v>45923</v>
      </c>
      <c r="B2577" s="469" t="s">
        <v>3176</v>
      </c>
      <c r="C2577" s="469" t="s">
        <v>368</v>
      </c>
      <c r="D2577" s="179" t="s">
        <v>442</v>
      </c>
      <c r="E2577" s="469">
        <v>11500</v>
      </c>
      <c r="F2577" s="463">
        <f t="shared" si="32"/>
        <v>21.555642611194312</v>
      </c>
      <c r="G2577" s="464">
        <v>533.50300000000004</v>
      </c>
      <c r="H2577" s="469" t="s">
        <v>174</v>
      </c>
      <c r="I2577" s="469" t="s">
        <v>3201</v>
      </c>
      <c r="J2577" s="247" t="s">
        <v>97</v>
      </c>
      <c r="K2577" s="247" t="s">
        <v>1133</v>
      </c>
      <c r="L2577" s="247" t="s">
        <v>154</v>
      </c>
      <c r="M2577" s="414"/>
      <c r="N2577" s="414"/>
    </row>
    <row r="2578" spans="1:14" ht="15.6">
      <c r="A2578" s="476">
        <v>45923</v>
      </c>
      <c r="B2578" s="469" t="s">
        <v>3706</v>
      </c>
      <c r="C2578" s="469" t="s">
        <v>173</v>
      </c>
      <c r="D2578" s="179" t="s">
        <v>442</v>
      </c>
      <c r="E2578" s="469">
        <v>2000</v>
      </c>
      <c r="F2578" s="463">
        <f t="shared" si="32"/>
        <v>3.7488074106424891</v>
      </c>
      <c r="G2578" s="464">
        <v>533.50300000000004</v>
      </c>
      <c r="H2578" s="469" t="s">
        <v>316</v>
      </c>
      <c r="I2578" s="469" t="s">
        <v>3260</v>
      </c>
      <c r="J2578" s="247" t="s">
        <v>97</v>
      </c>
      <c r="K2578" s="247" t="s">
        <v>1133</v>
      </c>
      <c r="L2578" s="247" t="s">
        <v>154</v>
      </c>
      <c r="M2578" s="335"/>
      <c r="N2578" s="335"/>
    </row>
    <row r="2579" spans="1:14" ht="15.6">
      <c r="A2579" s="476">
        <v>45923</v>
      </c>
      <c r="B2579" s="469" t="s">
        <v>3731</v>
      </c>
      <c r="C2579" s="469" t="s">
        <v>173</v>
      </c>
      <c r="D2579" s="179" t="s">
        <v>442</v>
      </c>
      <c r="E2579" s="469">
        <v>1500</v>
      </c>
      <c r="F2579" s="463">
        <f t="shared" si="32"/>
        <v>2.8116055579818666</v>
      </c>
      <c r="G2579" s="464">
        <v>533.50300000000004</v>
      </c>
      <c r="H2579" s="469" t="s">
        <v>316</v>
      </c>
      <c r="I2579" s="469" t="s">
        <v>3260</v>
      </c>
      <c r="J2579" s="247" t="s">
        <v>97</v>
      </c>
      <c r="K2579" s="247" t="s">
        <v>1133</v>
      </c>
      <c r="L2579" s="247" t="s">
        <v>154</v>
      </c>
      <c r="M2579" s="335"/>
      <c r="N2579" s="335"/>
    </row>
    <row r="2580" spans="1:14" ht="15.6">
      <c r="A2580" s="476">
        <v>45923</v>
      </c>
      <c r="B2580" s="469" t="s">
        <v>3706</v>
      </c>
      <c r="C2580" s="469" t="s">
        <v>173</v>
      </c>
      <c r="D2580" s="179" t="s">
        <v>442</v>
      </c>
      <c r="E2580" s="469">
        <v>1000</v>
      </c>
      <c r="F2580" s="463">
        <f t="shared" si="32"/>
        <v>1.8744037053212446</v>
      </c>
      <c r="G2580" s="464">
        <v>533.50300000000004</v>
      </c>
      <c r="H2580" s="469" t="s">
        <v>316</v>
      </c>
      <c r="I2580" s="469" t="s">
        <v>3260</v>
      </c>
      <c r="J2580" s="247" t="s">
        <v>97</v>
      </c>
      <c r="K2580" s="247" t="s">
        <v>1133</v>
      </c>
      <c r="L2580" s="247" t="s">
        <v>154</v>
      </c>
      <c r="M2580" s="335"/>
      <c r="N2580" s="335"/>
    </row>
    <row r="2581" spans="1:14" ht="15.6">
      <c r="A2581" s="476">
        <v>45923</v>
      </c>
      <c r="B2581" s="469" t="s">
        <v>3753</v>
      </c>
      <c r="C2581" s="469" t="s">
        <v>173</v>
      </c>
      <c r="D2581" s="179" t="s">
        <v>442</v>
      </c>
      <c r="E2581" s="469">
        <v>2500</v>
      </c>
      <c r="F2581" s="463">
        <f t="shared" si="32"/>
        <v>4.6860092633031112</v>
      </c>
      <c r="G2581" s="464">
        <v>533.50300000000004</v>
      </c>
      <c r="H2581" s="469" t="s">
        <v>316</v>
      </c>
      <c r="I2581" s="469" t="s">
        <v>3260</v>
      </c>
      <c r="J2581" s="247" t="s">
        <v>97</v>
      </c>
      <c r="K2581" s="247" t="s">
        <v>1133</v>
      </c>
      <c r="L2581" s="247" t="s">
        <v>154</v>
      </c>
      <c r="M2581" s="335"/>
      <c r="N2581" s="335"/>
    </row>
    <row r="2582" spans="1:14" ht="15.6">
      <c r="A2582" s="476">
        <v>45923</v>
      </c>
      <c r="B2582" s="469" t="s">
        <v>3294</v>
      </c>
      <c r="C2582" s="469" t="s">
        <v>173</v>
      </c>
      <c r="D2582" s="179" t="s">
        <v>442</v>
      </c>
      <c r="E2582" s="472">
        <v>2000</v>
      </c>
      <c r="F2582" s="463">
        <f t="shared" si="32"/>
        <v>3.7488074106424891</v>
      </c>
      <c r="G2582" s="464">
        <v>533.50300000000004</v>
      </c>
      <c r="H2582" s="469" t="s">
        <v>322</v>
      </c>
      <c r="I2582" s="469" t="s">
        <v>3301</v>
      </c>
      <c r="J2582" s="247" t="s">
        <v>97</v>
      </c>
      <c r="K2582" s="247" t="s">
        <v>1133</v>
      </c>
      <c r="L2582" s="247" t="s">
        <v>154</v>
      </c>
      <c r="M2582" s="335"/>
      <c r="N2582" s="335"/>
    </row>
    <row r="2583" spans="1:14" ht="15.6">
      <c r="A2583" s="476">
        <v>45923</v>
      </c>
      <c r="B2583" s="469" t="s">
        <v>3295</v>
      </c>
      <c r="C2583" s="469" t="s">
        <v>173</v>
      </c>
      <c r="D2583" s="179" t="s">
        <v>442</v>
      </c>
      <c r="E2583" s="472">
        <v>1000</v>
      </c>
      <c r="F2583" s="463">
        <f t="shared" si="32"/>
        <v>1.8744037053212446</v>
      </c>
      <c r="G2583" s="464">
        <v>533.50300000000004</v>
      </c>
      <c r="H2583" s="469" t="s">
        <v>322</v>
      </c>
      <c r="I2583" s="469" t="s">
        <v>3301</v>
      </c>
      <c r="J2583" s="247" t="s">
        <v>97</v>
      </c>
      <c r="K2583" s="247" t="s">
        <v>1133</v>
      </c>
      <c r="L2583" s="247" t="s">
        <v>154</v>
      </c>
      <c r="M2583" s="335"/>
      <c r="N2583" s="335"/>
    </row>
    <row r="2584" spans="1:14" ht="15.6">
      <c r="A2584" s="476">
        <v>45923</v>
      </c>
      <c r="B2584" s="469" t="s">
        <v>3296</v>
      </c>
      <c r="C2584" s="469" t="s">
        <v>173</v>
      </c>
      <c r="D2584" s="179" t="s">
        <v>442</v>
      </c>
      <c r="E2584" s="472">
        <v>1000</v>
      </c>
      <c r="F2584" s="463">
        <f t="shared" si="32"/>
        <v>1.8744037053212446</v>
      </c>
      <c r="G2584" s="464">
        <v>533.50300000000004</v>
      </c>
      <c r="H2584" s="469" t="s">
        <v>322</v>
      </c>
      <c r="I2584" s="469" t="s">
        <v>3301</v>
      </c>
      <c r="J2584" s="247" t="s">
        <v>97</v>
      </c>
      <c r="K2584" s="247" t="s">
        <v>1133</v>
      </c>
      <c r="L2584" s="247" t="s">
        <v>154</v>
      </c>
      <c r="M2584" s="335"/>
      <c r="N2584" s="335"/>
    </row>
    <row r="2585" spans="1:14" ht="15.6">
      <c r="A2585" s="471">
        <v>45923</v>
      </c>
      <c r="B2585" s="247" t="s">
        <v>2365</v>
      </c>
      <c r="C2585" s="469" t="s">
        <v>171</v>
      </c>
      <c r="D2585" s="469" t="s">
        <v>117</v>
      </c>
      <c r="E2585" s="468">
        <v>25000</v>
      </c>
      <c r="F2585" s="463">
        <f t="shared" si="32"/>
        <v>46.860092633031115</v>
      </c>
      <c r="G2585" s="464">
        <v>533.50300000000004</v>
      </c>
      <c r="H2585" s="469" t="s">
        <v>189</v>
      </c>
      <c r="I2585" s="247" t="s">
        <v>3331</v>
      </c>
      <c r="J2585" s="247" t="s">
        <v>97</v>
      </c>
      <c r="K2585" s="247" t="s">
        <v>1133</v>
      </c>
      <c r="L2585" s="247" t="s">
        <v>154</v>
      </c>
      <c r="M2585" s="127"/>
      <c r="N2585" s="127"/>
    </row>
    <row r="2586" spans="1:14" ht="15.6">
      <c r="A2586" s="476">
        <v>45924</v>
      </c>
      <c r="B2586" s="469" t="s">
        <v>2100</v>
      </c>
      <c r="C2586" s="462" t="s">
        <v>173</v>
      </c>
      <c r="D2586" s="462" t="s">
        <v>118</v>
      </c>
      <c r="E2586" s="359">
        <v>1000</v>
      </c>
      <c r="F2586" s="463">
        <f t="shared" si="32"/>
        <v>1.8744037053212446</v>
      </c>
      <c r="G2586" s="464">
        <v>533.50300000000004</v>
      </c>
      <c r="H2586" s="465" t="s">
        <v>152</v>
      </c>
      <c r="I2586" s="469" t="s">
        <v>2868</v>
      </c>
      <c r="J2586" s="247" t="s">
        <v>97</v>
      </c>
      <c r="K2586" s="247" t="s">
        <v>1133</v>
      </c>
      <c r="L2586" s="247" t="s">
        <v>154</v>
      </c>
      <c r="M2586" s="414"/>
      <c r="N2586" s="414"/>
    </row>
    <row r="2587" spans="1:14" ht="15.6">
      <c r="A2587" s="476">
        <v>45924</v>
      </c>
      <c r="B2587" s="469" t="s">
        <v>2101</v>
      </c>
      <c r="C2587" s="462" t="s">
        <v>173</v>
      </c>
      <c r="D2587" s="462" t="s">
        <v>118</v>
      </c>
      <c r="E2587" s="359">
        <v>1000</v>
      </c>
      <c r="F2587" s="463">
        <f t="shared" si="32"/>
        <v>1.8744037053212446</v>
      </c>
      <c r="G2587" s="464">
        <v>533.50300000000004</v>
      </c>
      <c r="H2587" s="465" t="s">
        <v>152</v>
      </c>
      <c r="I2587" s="469" t="s">
        <v>2868</v>
      </c>
      <c r="J2587" s="247" t="s">
        <v>97</v>
      </c>
      <c r="K2587" s="247" t="s">
        <v>1133</v>
      </c>
      <c r="L2587" s="247" t="s">
        <v>154</v>
      </c>
      <c r="M2587" s="414"/>
      <c r="N2587" s="414"/>
    </row>
    <row r="2588" spans="1:14" ht="15.6">
      <c r="A2588" s="471">
        <v>45924</v>
      </c>
      <c r="B2588" s="469" t="s">
        <v>2952</v>
      </c>
      <c r="C2588" s="247" t="s">
        <v>171</v>
      </c>
      <c r="D2588" s="469" t="s">
        <v>117</v>
      </c>
      <c r="E2588" s="468">
        <v>19000</v>
      </c>
      <c r="F2588" s="463">
        <f t="shared" si="32"/>
        <v>35.613670401103647</v>
      </c>
      <c r="G2588" s="464">
        <v>533.50300000000004</v>
      </c>
      <c r="H2588" s="469" t="s">
        <v>583</v>
      </c>
      <c r="I2588" s="247" t="s">
        <v>2981</v>
      </c>
      <c r="J2588" s="247" t="s">
        <v>97</v>
      </c>
      <c r="K2588" s="247" t="s">
        <v>1133</v>
      </c>
      <c r="L2588" s="247" t="s">
        <v>154</v>
      </c>
      <c r="M2588" s="335"/>
      <c r="N2588" s="335"/>
    </row>
    <row r="2589" spans="1:14" ht="15.6">
      <c r="A2589" s="476">
        <v>45924</v>
      </c>
      <c r="B2589" s="469" t="s">
        <v>3967</v>
      </c>
      <c r="C2589" s="469" t="s">
        <v>173</v>
      </c>
      <c r="D2589" s="179" t="s">
        <v>442</v>
      </c>
      <c r="E2589" s="469">
        <v>1000</v>
      </c>
      <c r="F2589" s="463">
        <f t="shared" si="32"/>
        <v>1.8744037053212446</v>
      </c>
      <c r="G2589" s="464">
        <v>533.50300000000004</v>
      </c>
      <c r="H2589" s="469" t="s">
        <v>174</v>
      </c>
      <c r="I2589" s="469" t="s">
        <v>3196</v>
      </c>
      <c r="J2589" s="247" t="s">
        <v>97</v>
      </c>
      <c r="K2589" s="247" t="s">
        <v>1133</v>
      </c>
      <c r="L2589" s="247" t="s">
        <v>154</v>
      </c>
      <c r="M2589" s="414"/>
      <c r="N2589" s="414"/>
    </row>
    <row r="2590" spans="1:14" ht="15.6">
      <c r="A2590" s="476">
        <v>45924</v>
      </c>
      <c r="B2590" s="469" t="s">
        <v>3958</v>
      </c>
      <c r="C2590" s="469" t="s">
        <v>173</v>
      </c>
      <c r="D2590" s="179" t="s">
        <v>442</v>
      </c>
      <c r="E2590" s="469">
        <v>1000</v>
      </c>
      <c r="F2590" s="463">
        <f t="shared" si="32"/>
        <v>1.8744037053212446</v>
      </c>
      <c r="G2590" s="464">
        <v>533.50300000000004</v>
      </c>
      <c r="H2590" s="469" t="s">
        <v>174</v>
      </c>
      <c r="I2590" s="469" t="s">
        <v>3196</v>
      </c>
      <c r="J2590" s="247" t="s">
        <v>97</v>
      </c>
      <c r="K2590" s="247" t="s">
        <v>1133</v>
      </c>
      <c r="L2590" s="247" t="s">
        <v>154</v>
      </c>
      <c r="M2590" s="414"/>
      <c r="N2590" s="414"/>
    </row>
    <row r="2591" spans="1:14" ht="15.6">
      <c r="A2591" s="476">
        <v>45925</v>
      </c>
      <c r="B2591" s="469" t="s">
        <v>2100</v>
      </c>
      <c r="C2591" s="462" t="s">
        <v>173</v>
      </c>
      <c r="D2591" s="462" t="s">
        <v>118</v>
      </c>
      <c r="E2591" s="359">
        <v>1000</v>
      </c>
      <c r="F2591" s="463">
        <f t="shared" si="32"/>
        <v>1.8744037053212446</v>
      </c>
      <c r="G2591" s="464">
        <v>533.50300000000004</v>
      </c>
      <c r="H2591" s="465" t="s">
        <v>152</v>
      </c>
      <c r="I2591" s="469" t="s">
        <v>2868</v>
      </c>
      <c r="J2591" s="247" t="s">
        <v>97</v>
      </c>
      <c r="K2591" s="247" t="s">
        <v>1133</v>
      </c>
      <c r="L2591" s="247" t="s">
        <v>154</v>
      </c>
      <c r="M2591" s="414"/>
      <c r="N2591" s="414"/>
    </row>
    <row r="2592" spans="1:14" ht="15.6">
      <c r="A2592" s="476">
        <v>45925</v>
      </c>
      <c r="B2592" s="469" t="s">
        <v>2101</v>
      </c>
      <c r="C2592" s="462" t="s">
        <v>173</v>
      </c>
      <c r="D2592" s="462" t="s">
        <v>118</v>
      </c>
      <c r="E2592" s="359">
        <v>1000</v>
      </c>
      <c r="F2592" s="463">
        <f t="shared" si="32"/>
        <v>1.8744037053212446</v>
      </c>
      <c r="G2592" s="464">
        <v>533.50300000000004</v>
      </c>
      <c r="H2592" s="465" t="s">
        <v>152</v>
      </c>
      <c r="I2592" s="469" t="s">
        <v>2868</v>
      </c>
      <c r="J2592" s="247" t="s">
        <v>97</v>
      </c>
      <c r="K2592" s="247" t="s">
        <v>1133</v>
      </c>
      <c r="L2592" s="247" t="s">
        <v>154</v>
      </c>
      <c r="M2592" s="414"/>
      <c r="N2592" s="414"/>
    </row>
    <row r="2593" spans="1:14" ht="15.6">
      <c r="A2593" s="476">
        <v>45925</v>
      </c>
      <c r="B2593" s="469" t="s">
        <v>3968</v>
      </c>
      <c r="C2593" s="469" t="s">
        <v>173</v>
      </c>
      <c r="D2593" s="179" t="s">
        <v>442</v>
      </c>
      <c r="E2593" s="469">
        <v>1000</v>
      </c>
      <c r="F2593" s="463">
        <f t="shared" si="32"/>
        <v>1.8744037053212446</v>
      </c>
      <c r="G2593" s="464">
        <v>533.50300000000004</v>
      </c>
      <c r="H2593" s="469" t="s">
        <v>174</v>
      </c>
      <c r="I2593" s="469" t="s">
        <v>3196</v>
      </c>
      <c r="J2593" s="247" t="s">
        <v>97</v>
      </c>
      <c r="K2593" s="247" t="s">
        <v>1133</v>
      </c>
      <c r="L2593" s="247" t="s">
        <v>154</v>
      </c>
      <c r="M2593" s="414"/>
      <c r="N2593" s="414"/>
    </row>
    <row r="2594" spans="1:14" ht="15.6">
      <c r="A2594" s="476">
        <v>45925</v>
      </c>
      <c r="B2594" s="469" t="s">
        <v>3969</v>
      </c>
      <c r="C2594" s="469" t="s">
        <v>173</v>
      </c>
      <c r="D2594" s="179" t="s">
        <v>442</v>
      </c>
      <c r="E2594" s="469">
        <v>1000</v>
      </c>
      <c r="F2594" s="463">
        <f t="shared" si="32"/>
        <v>1.8744037053212446</v>
      </c>
      <c r="G2594" s="464">
        <v>533.50300000000004</v>
      </c>
      <c r="H2594" s="469" t="s">
        <v>174</v>
      </c>
      <c r="I2594" s="469" t="s">
        <v>3196</v>
      </c>
      <c r="J2594" s="247" t="s">
        <v>97</v>
      </c>
      <c r="K2594" s="247" t="s">
        <v>1133</v>
      </c>
      <c r="L2594" s="247" t="s">
        <v>154</v>
      </c>
      <c r="M2594" s="414"/>
      <c r="N2594" s="414"/>
    </row>
    <row r="2595" spans="1:14" ht="15.6">
      <c r="A2595" s="476">
        <v>45925</v>
      </c>
      <c r="B2595" s="469" t="s">
        <v>3321</v>
      </c>
      <c r="C2595" s="469" t="s">
        <v>173</v>
      </c>
      <c r="D2595" s="469" t="s">
        <v>116</v>
      </c>
      <c r="E2595" s="469">
        <v>1000</v>
      </c>
      <c r="F2595" s="463">
        <f t="shared" si="32"/>
        <v>1.8744037053212446</v>
      </c>
      <c r="G2595" s="464">
        <v>533.50300000000004</v>
      </c>
      <c r="H2595" s="469" t="s">
        <v>186</v>
      </c>
      <c r="I2595" s="469" t="s">
        <v>3504</v>
      </c>
      <c r="J2595" s="247" t="s">
        <v>97</v>
      </c>
      <c r="K2595" s="247" t="s">
        <v>1133</v>
      </c>
      <c r="L2595" s="247" t="s">
        <v>154</v>
      </c>
      <c r="M2595" s="76"/>
      <c r="N2595" s="76"/>
    </row>
    <row r="2596" spans="1:14" ht="15.6">
      <c r="A2596" s="476">
        <v>45925</v>
      </c>
      <c r="B2596" s="469" t="s">
        <v>3310</v>
      </c>
      <c r="C2596" s="469" t="s">
        <v>173</v>
      </c>
      <c r="D2596" s="469" t="s">
        <v>116</v>
      </c>
      <c r="E2596" s="469">
        <v>1000</v>
      </c>
      <c r="F2596" s="463">
        <f t="shared" si="32"/>
        <v>1.8744037053212446</v>
      </c>
      <c r="G2596" s="464">
        <v>533.50300000000004</v>
      </c>
      <c r="H2596" s="469" t="s">
        <v>186</v>
      </c>
      <c r="I2596" s="469" t="s">
        <v>3504</v>
      </c>
      <c r="J2596" s="247" t="s">
        <v>97</v>
      </c>
      <c r="K2596" s="247" t="s">
        <v>1133</v>
      </c>
      <c r="L2596" s="247" t="s">
        <v>154</v>
      </c>
      <c r="M2596" s="76"/>
      <c r="N2596" s="76"/>
    </row>
    <row r="2597" spans="1:14" ht="15.6">
      <c r="A2597" s="476">
        <v>45926</v>
      </c>
      <c r="B2597" s="469" t="s">
        <v>2100</v>
      </c>
      <c r="C2597" s="462" t="s">
        <v>173</v>
      </c>
      <c r="D2597" s="462" t="s">
        <v>118</v>
      </c>
      <c r="E2597" s="359">
        <v>1000</v>
      </c>
      <c r="F2597" s="463">
        <f t="shared" si="32"/>
        <v>1.8744037053212446</v>
      </c>
      <c r="G2597" s="464">
        <v>533.50300000000004</v>
      </c>
      <c r="H2597" s="465" t="s">
        <v>152</v>
      </c>
      <c r="I2597" s="469" t="s">
        <v>2868</v>
      </c>
      <c r="J2597" s="247" t="s">
        <v>97</v>
      </c>
      <c r="K2597" s="247" t="s">
        <v>1133</v>
      </c>
      <c r="L2597" s="247" t="s">
        <v>154</v>
      </c>
      <c r="M2597" s="414"/>
      <c r="N2597" s="414"/>
    </row>
    <row r="2598" spans="1:14" ht="15.6">
      <c r="A2598" s="476">
        <v>45926</v>
      </c>
      <c r="B2598" s="469" t="s">
        <v>2101</v>
      </c>
      <c r="C2598" s="462" t="s">
        <v>173</v>
      </c>
      <c r="D2598" s="462" t="s">
        <v>118</v>
      </c>
      <c r="E2598" s="359">
        <v>1000</v>
      </c>
      <c r="F2598" s="463">
        <f t="shared" ref="F2598:F2624" si="33">E2598/G2598</f>
        <v>1.8744037053212446</v>
      </c>
      <c r="G2598" s="464">
        <v>533.50300000000004</v>
      </c>
      <c r="H2598" s="465" t="s">
        <v>152</v>
      </c>
      <c r="I2598" s="469" t="s">
        <v>2868</v>
      </c>
      <c r="J2598" s="247" t="s">
        <v>97</v>
      </c>
      <c r="K2598" s="247" t="s">
        <v>1133</v>
      </c>
      <c r="L2598" s="247" t="s">
        <v>154</v>
      </c>
      <c r="M2598" s="414"/>
      <c r="N2598" s="414"/>
    </row>
    <row r="2599" spans="1:14" ht="15.6">
      <c r="A2599" s="467">
        <v>45926</v>
      </c>
      <c r="B2599" s="469" t="s">
        <v>2950</v>
      </c>
      <c r="C2599" s="469" t="s">
        <v>173</v>
      </c>
      <c r="D2599" s="469" t="s">
        <v>117</v>
      </c>
      <c r="E2599" s="470">
        <v>1000</v>
      </c>
      <c r="F2599" s="463">
        <f t="shared" si="33"/>
        <v>1.8744037053212446</v>
      </c>
      <c r="G2599" s="464">
        <v>533.50300000000004</v>
      </c>
      <c r="H2599" s="469" t="s">
        <v>583</v>
      </c>
      <c r="I2599" s="469" t="s">
        <v>2970</v>
      </c>
      <c r="J2599" s="247" t="s">
        <v>97</v>
      </c>
      <c r="K2599" s="247" t="s">
        <v>1133</v>
      </c>
      <c r="L2599" s="247" t="s">
        <v>154</v>
      </c>
      <c r="M2599" s="335"/>
      <c r="N2599" s="335"/>
    </row>
    <row r="2600" spans="1:14" ht="15.6">
      <c r="A2600" s="467">
        <v>45926</v>
      </c>
      <c r="B2600" s="469" t="s">
        <v>2951</v>
      </c>
      <c r="C2600" s="469" t="s">
        <v>173</v>
      </c>
      <c r="D2600" s="469" t="s">
        <v>117</v>
      </c>
      <c r="E2600" s="470">
        <v>1000</v>
      </c>
      <c r="F2600" s="463">
        <f t="shared" si="33"/>
        <v>1.8744037053212446</v>
      </c>
      <c r="G2600" s="464">
        <v>533.50300000000004</v>
      </c>
      <c r="H2600" s="469" t="s">
        <v>583</v>
      </c>
      <c r="I2600" s="469" t="s">
        <v>2970</v>
      </c>
      <c r="J2600" s="247" t="s">
        <v>97</v>
      </c>
      <c r="K2600" s="247" t="s">
        <v>1133</v>
      </c>
      <c r="L2600" s="247" t="s">
        <v>154</v>
      </c>
      <c r="M2600" s="335"/>
      <c r="N2600" s="335"/>
    </row>
    <row r="2601" spans="1:14" ht="15.6">
      <c r="A2601" s="471">
        <v>45926</v>
      </c>
      <c r="B2601" s="469" t="s">
        <v>2953</v>
      </c>
      <c r="C2601" s="469" t="s">
        <v>125</v>
      </c>
      <c r="D2601" s="469" t="s">
        <v>117</v>
      </c>
      <c r="E2601" s="468">
        <v>6000</v>
      </c>
      <c r="F2601" s="463">
        <f t="shared" si="33"/>
        <v>11.246422231927466</v>
      </c>
      <c r="G2601" s="464">
        <v>533.50300000000004</v>
      </c>
      <c r="H2601" s="469" t="s">
        <v>583</v>
      </c>
      <c r="I2601" s="247" t="s">
        <v>2982</v>
      </c>
      <c r="J2601" s="247" t="s">
        <v>97</v>
      </c>
      <c r="K2601" s="247" t="s">
        <v>1133</v>
      </c>
      <c r="L2601" s="247" t="s">
        <v>154</v>
      </c>
      <c r="M2601" s="335"/>
      <c r="N2601" s="335"/>
    </row>
    <row r="2602" spans="1:14" ht="15.6">
      <c r="A2602" s="471">
        <v>45926</v>
      </c>
      <c r="B2602" s="247" t="s">
        <v>2949</v>
      </c>
      <c r="C2602" s="469" t="s">
        <v>181</v>
      </c>
      <c r="D2602" s="469" t="s">
        <v>117</v>
      </c>
      <c r="E2602" s="468">
        <v>2800</v>
      </c>
      <c r="F2602" s="463">
        <f t="shared" si="33"/>
        <v>5.248330374899485</v>
      </c>
      <c r="G2602" s="464">
        <v>533.50300000000004</v>
      </c>
      <c r="H2602" s="469" t="s">
        <v>583</v>
      </c>
      <c r="I2602" s="247" t="s">
        <v>2983</v>
      </c>
      <c r="J2602" s="247" t="s">
        <v>97</v>
      </c>
      <c r="K2602" s="247" t="s">
        <v>1133</v>
      </c>
      <c r="L2602" s="247" t="s">
        <v>154</v>
      </c>
      <c r="M2602" s="414"/>
      <c r="N2602" s="414"/>
    </row>
    <row r="2603" spans="1:14" ht="15.6">
      <c r="A2603" s="476">
        <v>45926</v>
      </c>
      <c r="B2603" s="469" t="s">
        <v>3958</v>
      </c>
      <c r="C2603" s="469" t="s">
        <v>173</v>
      </c>
      <c r="D2603" s="179" t="s">
        <v>442</v>
      </c>
      <c r="E2603" s="469">
        <v>1000</v>
      </c>
      <c r="F2603" s="463">
        <f t="shared" si="33"/>
        <v>1.8744037053212446</v>
      </c>
      <c r="G2603" s="464">
        <v>533.50300000000004</v>
      </c>
      <c r="H2603" s="469" t="s">
        <v>174</v>
      </c>
      <c r="I2603" s="469" t="s">
        <v>3196</v>
      </c>
      <c r="J2603" s="247" t="s">
        <v>97</v>
      </c>
      <c r="K2603" s="247" t="s">
        <v>1133</v>
      </c>
      <c r="L2603" s="247" t="s">
        <v>154</v>
      </c>
      <c r="M2603" s="414"/>
      <c r="N2603" s="414"/>
    </row>
    <row r="2604" spans="1:14" ht="15.6">
      <c r="A2604" s="476">
        <v>45926</v>
      </c>
      <c r="B2604" s="469" t="s">
        <v>3961</v>
      </c>
      <c r="C2604" s="469" t="s">
        <v>173</v>
      </c>
      <c r="D2604" s="179" t="s">
        <v>442</v>
      </c>
      <c r="E2604" s="469">
        <v>1000</v>
      </c>
      <c r="F2604" s="463">
        <f t="shared" si="33"/>
        <v>1.8744037053212446</v>
      </c>
      <c r="G2604" s="464">
        <v>533.50300000000004</v>
      </c>
      <c r="H2604" s="469" t="s">
        <v>174</v>
      </c>
      <c r="I2604" s="469" t="s">
        <v>3196</v>
      </c>
      <c r="J2604" s="247" t="s">
        <v>97</v>
      </c>
      <c r="K2604" s="247" t="s">
        <v>1133</v>
      </c>
      <c r="L2604" s="247" t="s">
        <v>154</v>
      </c>
      <c r="M2604" s="414"/>
      <c r="N2604" s="414"/>
    </row>
    <row r="2605" spans="1:14" ht="15.6">
      <c r="A2605" s="476">
        <v>45926</v>
      </c>
      <c r="B2605" s="469" t="s">
        <v>3495</v>
      </c>
      <c r="C2605" s="469" t="s">
        <v>173</v>
      </c>
      <c r="D2605" s="469" t="s">
        <v>116</v>
      </c>
      <c r="E2605" s="469">
        <v>1500</v>
      </c>
      <c r="F2605" s="463">
        <f t="shared" si="33"/>
        <v>2.8116055579818666</v>
      </c>
      <c r="G2605" s="464">
        <v>533.50300000000004</v>
      </c>
      <c r="H2605" s="469" t="s">
        <v>186</v>
      </c>
      <c r="I2605" s="469" t="s">
        <v>3504</v>
      </c>
      <c r="J2605" s="247" t="s">
        <v>97</v>
      </c>
      <c r="K2605" s="247" t="s">
        <v>1133</v>
      </c>
      <c r="L2605" s="247" t="s">
        <v>154</v>
      </c>
      <c r="M2605" s="76"/>
      <c r="N2605" s="76"/>
    </row>
    <row r="2606" spans="1:14" ht="15.6">
      <c r="A2606" s="476">
        <v>45926</v>
      </c>
      <c r="B2606" s="469" t="s">
        <v>3499</v>
      </c>
      <c r="C2606" s="469" t="s">
        <v>173</v>
      </c>
      <c r="D2606" s="469" t="s">
        <v>116</v>
      </c>
      <c r="E2606" s="469">
        <v>3500</v>
      </c>
      <c r="F2606" s="463">
        <f t="shared" si="33"/>
        <v>6.5604129686243562</v>
      </c>
      <c r="G2606" s="464">
        <v>533.50300000000004</v>
      </c>
      <c r="H2606" s="469" t="s">
        <v>186</v>
      </c>
      <c r="I2606" s="469" t="s">
        <v>3504</v>
      </c>
      <c r="J2606" s="247" t="s">
        <v>97</v>
      </c>
      <c r="K2606" s="247" t="s">
        <v>1133</v>
      </c>
      <c r="L2606" s="247" t="s">
        <v>154</v>
      </c>
      <c r="M2606" s="76"/>
      <c r="N2606" s="76"/>
    </row>
    <row r="2607" spans="1:14" ht="15.6">
      <c r="A2607" s="476">
        <v>45927</v>
      </c>
      <c r="B2607" s="469" t="s">
        <v>2100</v>
      </c>
      <c r="C2607" s="462" t="s">
        <v>173</v>
      </c>
      <c r="D2607" s="462" t="s">
        <v>118</v>
      </c>
      <c r="E2607" s="359">
        <v>1000</v>
      </c>
      <c r="F2607" s="463">
        <f t="shared" si="33"/>
        <v>1.8744037053212446</v>
      </c>
      <c r="G2607" s="464">
        <v>533.50300000000004</v>
      </c>
      <c r="H2607" s="465" t="s">
        <v>152</v>
      </c>
      <c r="I2607" s="469" t="s">
        <v>2868</v>
      </c>
      <c r="J2607" s="247" t="s">
        <v>97</v>
      </c>
      <c r="K2607" s="247" t="s">
        <v>1133</v>
      </c>
      <c r="L2607" s="247" t="s">
        <v>154</v>
      </c>
      <c r="M2607" s="335"/>
      <c r="N2607" s="335"/>
    </row>
    <row r="2608" spans="1:14" ht="15.6">
      <c r="A2608" s="476">
        <v>45927</v>
      </c>
      <c r="B2608" s="469" t="s">
        <v>2862</v>
      </c>
      <c r="C2608" s="462" t="s">
        <v>173</v>
      </c>
      <c r="D2608" s="462" t="s">
        <v>118</v>
      </c>
      <c r="E2608" s="359">
        <v>1000</v>
      </c>
      <c r="F2608" s="463">
        <f t="shared" si="33"/>
        <v>1.8744037053212446</v>
      </c>
      <c r="G2608" s="464">
        <v>533.50300000000004</v>
      </c>
      <c r="H2608" s="465" t="s">
        <v>152</v>
      </c>
      <c r="I2608" s="469" t="s">
        <v>2868</v>
      </c>
      <c r="J2608" s="247" t="s">
        <v>97</v>
      </c>
      <c r="K2608" s="247" t="s">
        <v>1133</v>
      </c>
      <c r="L2608" s="247" t="s">
        <v>154</v>
      </c>
      <c r="M2608" s="335"/>
      <c r="N2608" s="335"/>
    </row>
    <row r="2609" spans="1:14" ht="15.6">
      <c r="A2609" s="474">
        <v>45927</v>
      </c>
      <c r="B2609" s="216" t="s">
        <v>2896</v>
      </c>
      <c r="C2609" s="216" t="s">
        <v>173</v>
      </c>
      <c r="D2609" s="337" t="s">
        <v>116</v>
      </c>
      <c r="E2609" s="475">
        <v>1500</v>
      </c>
      <c r="F2609" s="463">
        <f t="shared" si="33"/>
        <v>2.8116055579818666</v>
      </c>
      <c r="G2609" s="464">
        <v>533.50300000000004</v>
      </c>
      <c r="H2609" s="174" t="s">
        <v>199</v>
      </c>
      <c r="I2609" s="216" t="s">
        <v>2911</v>
      </c>
      <c r="J2609" s="247" t="s">
        <v>97</v>
      </c>
      <c r="K2609" s="247" t="s">
        <v>1133</v>
      </c>
      <c r="L2609" s="247" t="s">
        <v>154</v>
      </c>
      <c r="M2609" s="414"/>
      <c r="N2609" s="414"/>
    </row>
    <row r="2610" spans="1:14" ht="15.6">
      <c r="A2610" s="474">
        <v>45927</v>
      </c>
      <c r="B2610" s="216" t="s">
        <v>2897</v>
      </c>
      <c r="C2610" s="216" t="s">
        <v>173</v>
      </c>
      <c r="D2610" s="337" t="s">
        <v>116</v>
      </c>
      <c r="E2610" s="475">
        <v>1000</v>
      </c>
      <c r="F2610" s="463">
        <f t="shared" si="33"/>
        <v>1.8744037053212446</v>
      </c>
      <c r="G2610" s="464">
        <v>533.50300000000004</v>
      </c>
      <c r="H2610" s="174" t="s">
        <v>199</v>
      </c>
      <c r="I2610" s="216" t="s">
        <v>2911</v>
      </c>
      <c r="J2610" s="247" t="s">
        <v>97</v>
      </c>
      <c r="K2610" s="247" t="s">
        <v>1133</v>
      </c>
      <c r="L2610" s="247" t="s">
        <v>154</v>
      </c>
      <c r="M2610" s="414"/>
      <c r="N2610" s="414"/>
    </row>
    <row r="2611" spans="1:14" ht="15.6">
      <c r="A2611" s="474">
        <v>45927</v>
      </c>
      <c r="B2611" s="216" t="s">
        <v>2898</v>
      </c>
      <c r="C2611" s="216" t="s">
        <v>173</v>
      </c>
      <c r="D2611" s="337" t="s">
        <v>116</v>
      </c>
      <c r="E2611" s="475">
        <v>1000</v>
      </c>
      <c r="F2611" s="463">
        <f t="shared" si="33"/>
        <v>1.8744037053212446</v>
      </c>
      <c r="G2611" s="464">
        <v>533.50300000000004</v>
      </c>
      <c r="H2611" s="174" t="s">
        <v>199</v>
      </c>
      <c r="I2611" s="216" t="s">
        <v>2911</v>
      </c>
      <c r="J2611" s="247" t="s">
        <v>97</v>
      </c>
      <c r="K2611" s="247" t="s">
        <v>1133</v>
      </c>
      <c r="L2611" s="247" t="s">
        <v>154</v>
      </c>
      <c r="M2611" s="414"/>
      <c r="N2611" s="414"/>
    </row>
    <row r="2612" spans="1:14" ht="15.6">
      <c r="A2612" s="474">
        <v>45927</v>
      </c>
      <c r="B2612" s="216" t="s">
        <v>2239</v>
      </c>
      <c r="C2612" s="216" t="s">
        <v>173</v>
      </c>
      <c r="D2612" s="337" t="s">
        <v>116</v>
      </c>
      <c r="E2612" s="475">
        <v>1500</v>
      </c>
      <c r="F2612" s="463">
        <f t="shared" si="33"/>
        <v>2.8116055579818666</v>
      </c>
      <c r="G2612" s="464">
        <v>533.50300000000004</v>
      </c>
      <c r="H2612" s="174" t="s">
        <v>199</v>
      </c>
      <c r="I2612" s="216" t="s">
        <v>2911</v>
      </c>
      <c r="J2612" s="247" t="s">
        <v>97</v>
      </c>
      <c r="K2612" s="247" t="s">
        <v>1133</v>
      </c>
      <c r="L2612" s="247" t="s">
        <v>154</v>
      </c>
      <c r="M2612" s="414"/>
      <c r="N2612" s="414"/>
    </row>
    <row r="2613" spans="1:14" ht="15.6">
      <c r="A2613" s="467">
        <v>45927</v>
      </c>
      <c r="B2613" s="469" t="s">
        <v>2954</v>
      </c>
      <c r="C2613" s="469" t="s">
        <v>173</v>
      </c>
      <c r="D2613" s="469" t="s">
        <v>117</v>
      </c>
      <c r="E2613" s="470">
        <v>1000</v>
      </c>
      <c r="F2613" s="463">
        <f t="shared" si="33"/>
        <v>1.8744037053212446</v>
      </c>
      <c r="G2613" s="464">
        <v>533.50300000000004</v>
      </c>
      <c r="H2613" s="469" t="s">
        <v>583</v>
      </c>
      <c r="I2613" s="469" t="s">
        <v>2970</v>
      </c>
      <c r="J2613" s="247" t="s">
        <v>97</v>
      </c>
      <c r="K2613" s="247" t="s">
        <v>1133</v>
      </c>
      <c r="L2613" s="247" t="s">
        <v>154</v>
      </c>
      <c r="M2613" s="414"/>
      <c r="N2613" s="414"/>
    </row>
    <row r="2614" spans="1:14" ht="15.6">
      <c r="A2614" s="467">
        <v>45927</v>
      </c>
      <c r="B2614" s="469" t="s">
        <v>2955</v>
      </c>
      <c r="C2614" s="469" t="s">
        <v>173</v>
      </c>
      <c r="D2614" s="469" t="s">
        <v>117</v>
      </c>
      <c r="E2614" s="470">
        <v>1000</v>
      </c>
      <c r="F2614" s="463">
        <f t="shared" si="33"/>
        <v>1.8744037053212446</v>
      </c>
      <c r="G2614" s="464">
        <v>533.50300000000004</v>
      </c>
      <c r="H2614" s="469" t="s">
        <v>583</v>
      </c>
      <c r="I2614" s="469" t="s">
        <v>2970</v>
      </c>
      <c r="J2614" s="247" t="s">
        <v>97</v>
      </c>
      <c r="K2614" s="247" t="s">
        <v>1133</v>
      </c>
      <c r="L2614" s="247" t="s">
        <v>154</v>
      </c>
      <c r="M2614" s="414"/>
      <c r="N2614" s="414"/>
    </row>
    <row r="2615" spans="1:14" ht="15.6">
      <c r="A2615" s="467">
        <v>45927</v>
      </c>
      <c r="B2615" s="469" t="s">
        <v>2956</v>
      </c>
      <c r="C2615" s="469" t="s">
        <v>173</v>
      </c>
      <c r="D2615" s="469" t="s">
        <v>117</v>
      </c>
      <c r="E2615" s="470">
        <v>500</v>
      </c>
      <c r="F2615" s="463">
        <f t="shared" si="33"/>
        <v>0.93720185266062228</v>
      </c>
      <c r="G2615" s="464">
        <v>533.50300000000004</v>
      </c>
      <c r="H2615" s="469" t="s">
        <v>583</v>
      </c>
      <c r="I2615" s="469" t="s">
        <v>2970</v>
      </c>
      <c r="J2615" s="247" t="s">
        <v>97</v>
      </c>
      <c r="K2615" s="247" t="s">
        <v>1133</v>
      </c>
      <c r="L2615" s="247" t="s">
        <v>154</v>
      </c>
      <c r="M2615" s="414"/>
      <c r="N2615" s="414"/>
    </row>
    <row r="2616" spans="1:14" ht="15.6">
      <c r="A2616" s="467">
        <v>45927</v>
      </c>
      <c r="B2616" s="469" t="s">
        <v>2957</v>
      </c>
      <c r="C2616" s="469" t="s">
        <v>173</v>
      </c>
      <c r="D2616" s="469" t="s">
        <v>117</v>
      </c>
      <c r="E2616" s="470">
        <v>1000</v>
      </c>
      <c r="F2616" s="463">
        <f t="shared" si="33"/>
        <v>1.8744037053212446</v>
      </c>
      <c r="G2616" s="464">
        <v>533.50300000000004</v>
      </c>
      <c r="H2616" s="469" t="s">
        <v>583</v>
      </c>
      <c r="I2616" s="469" t="s">
        <v>2970</v>
      </c>
      <c r="J2616" s="247" t="s">
        <v>97</v>
      </c>
      <c r="K2616" s="247" t="s">
        <v>1133</v>
      </c>
      <c r="L2616" s="247" t="s">
        <v>154</v>
      </c>
      <c r="M2616" s="414"/>
      <c r="N2616" s="414"/>
    </row>
    <row r="2617" spans="1:14" ht="15.6">
      <c r="A2617" s="467">
        <v>45927</v>
      </c>
      <c r="B2617" s="469" t="s">
        <v>2958</v>
      </c>
      <c r="C2617" s="469" t="s">
        <v>173</v>
      </c>
      <c r="D2617" s="469" t="s">
        <v>117</v>
      </c>
      <c r="E2617" s="470">
        <v>1000</v>
      </c>
      <c r="F2617" s="463">
        <f t="shared" si="33"/>
        <v>1.8744037053212446</v>
      </c>
      <c r="G2617" s="464">
        <v>533.50300000000004</v>
      </c>
      <c r="H2617" s="469" t="s">
        <v>583</v>
      </c>
      <c r="I2617" s="469" t="s">
        <v>2970</v>
      </c>
      <c r="J2617" s="247" t="s">
        <v>97</v>
      </c>
      <c r="K2617" s="247" t="s">
        <v>1133</v>
      </c>
      <c r="L2617" s="247" t="s">
        <v>154</v>
      </c>
      <c r="M2617" s="414"/>
      <c r="N2617" s="414"/>
    </row>
    <row r="2618" spans="1:14" ht="15.6">
      <c r="A2618" s="467">
        <v>45927</v>
      </c>
      <c r="B2618" s="469" t="s">
        <v>2959</v>
      </c>
      <c r="C2618" s="469" t="s">
        <v>173</v>
      </c>
      <c r="D2618" s="469" t="s">
        <v>117</v>
      </c>
      <c r="E2618" s="470">
        <v>1000</v>
      </c>
      <c r="F2618" s="463">
        <f t="shared" si="33"/>
        <v>1.8744037053212446</v>
      </c>
      <c r="G2618" s="464">
        <v>533.50300000000004</v>
      </c>
      <c r="H2618" s="469" t="s">
        <v>583</v>
      </c>
      <c r="I2618" s="469" t="s">
        <v>2970</v>
      </c>
      <c r="J2618" s="247" t="s">
        <v>97</v>
      </c>
      <c r="K2618" s="247" t="s">
        <v>1133</v>
      </c>
      <c r="L2618" s="247" t="s">
        <v>154</v>
      </c>
      <c r="M2618" s="414"/>
      <c r="N2618" s="414"/>
    </row>
    <row r="2619" spans="1:14" ht="15.6">
      <c r="A2619" s="476">
        <v>45927</v>
      </c>
      <c r="B2619" s="469" t="s">
        <v>3961</v>
      </c>
      <c r="C2619" s="469" t="s">
        <v>173</v>
      </c>
      <c r="D2619" s="179" t="s">
        <v>442</v>
      </c>
      <c r="E2619" s="469">
        <v>1000</v>
      </c>
      <c r="F2619" s="463">
        <f t="shared" si="33"/>
        <v>1.8744037053212446</v>
      </c>
      <c r="G2619" s="464">
        <v>533.50300000000004</v>
      </c>
      <c r="H2619" s="469" t="s">
        <v>174</v>
      </c>
      <c r="I2619" s="469" t="s">
        <v>3196</v>
      </c>
      <c r="J2619" s="247" t="s">
        <v>97</v>
      </c>
      <c r="K2619" s="247" t="s">
        <v>1133</v>
      </c>
      <c r="L2619" s="247" t="s">
        <v>154</v>
      </c>
      <c r="M2619" s="414"/>
      <c r="N2619" s="414"/>
    </row>
    <row r="2620" spans="1:14" ht="15.6">
      <c r="A2620" s="476">
        <v>45927</v>
      </c>
      <c r="B2620" s="469" t="s">
        <v>3958</v>
      </c>
      <c r="C2620" s="469" t="s">
        <v>173</v>
      </c>
      <c r="D2620" s="179" t="s">
        <v>442</v>
      </c>
      <c r="E2620" s="469">
        <v>1000</v>
      </c>
      <c r="F2620" s="463">
        <f t="shared" si="33"/>
        <v>1.8744037053212446</v>
      </c>
      <c r="G2620" s="464">
        <v>533.50300000000004</v>
      </c>
      <c r="H2620" s="469" t="s">
        <v>174</v>
      </c>
      <c r="I2620" s="469" t="s">
        <v>3196</v>
      </c>
      <c r="J2620" s="247" t="s">
        <v>97</v>
      </c>
      <c r="K2620" s="247" t="s">
        <v>1133</v>
      </c>
      <c r="L2620" s="247" t="s">
        <v>154</v>
      </c>
      <c r="M2620" s="414"/>
      <c r="N2620" s="414"/>
    </row>
    <row r="2621" spans="1:14" ht="15.6">
      <c r="A2621" s="461">
        <v>45927</v>
      </c>
      <c r="B2621" s="469" t="s">
        <v>3403</v>
      </c>
      <c r="C2621" s="243" t="s">
        <v>195</v>
      </c>
      <c r="D2621" s="243" t="s">
        <v>116</v>
      </c>
      <c r="E2621" s="478">
        <v>1000</v>
      </c>
      <c r="F2621" s="463">
        <f t="shared" si="33"/>
        <v>1.8744037053212446</v>
      </c>
      <c r="G2621" s="464">
        <v>533.50300000000004</v>
      </c>
      <c r="H2621" s="256" t="s">
        <v>196</v>
      </c>
      <c r="I2621" s="469" t="s">
        <v>3411</v>
      </c>
      <c r="J2621" s="247" t="s">
        <v>97</v>
      </c>
      <c r="K2621" s="247" t="s">
        <v>1133</v>
      </c>
      <c r="L2621" s="247" t="s">
        <v>154</v>
      </c>
      <c r="M2621" s="76"/>
      <c r="N2621" s="76"/>
    </row>
    <row r="2622" spans="1:14" ht="15.6">
      <c r="A2622" s="461">
        <v>45927</v>
      </c>
      <c r="B2622" s="469" t="s">
        <v>3404</v>
      </c>
      <c r="C2622" s="243" t="s">
        <v>195</v>
      </c>
      <c r="D2622" s="243" t="s">
        <v>116</v>
      </c>
      <c r="E2622" s="478">
        <v>1000</v>
      </c>
      <c r="F2622" s="463">
        <f t="shared" si="33"/>
        <v>1.8744037053212446</v>
      </c>
      <c r="G2622" s="464">
        <v>533.50300000000004</v>
      </c>
      <c r="H2622" s="256" t="s">
        <v>196</v>
      </c>
      <c r="I2622" s="469" t="s">
        <v>3411</v>
      </c>
      <c r="J2622" s="247" t="s">
        <v>97</v>
      </c>
      <c r="K2622" s="247" t="s">
        <v>1133</v>
      </c>
      <c r="L2622" s="247" t="s">
        <v>154</v>
      </c>
      <c r="M2622" s="76"/>
      <c r="N2622" s="76"/>
    </row>
    <row r="2623" spans="1:14" ht="15.6">
      <c r="A2623" s="476">
        <v>45927</v>
      </c>
      <c r="B2623" s="469" t="s">
        <v>2718</v>
      </c>
      <c r="C2623" s="469" t="s">
        <v>173</v>
      </c>
      <c r="D2623" s="469" t="s">
        <v>119</v>
      </c>
      <c r="E2623" s="472">
        <v>1000</v>
      </c>
      <c r="F2623" s="463">
        <f t="shared" si="33"/>
        <v>1.8744037053212446</v>
      </c>
      <c r="G2623" s="464">
        <v>533.50300000000004</v>
      </c>
      <c r="H2623" s="469" t="s">
        <v>212</v>
      </c>
      <c r="I2623" s="469" t="s">
        <v>3470</v>
      </c>
      <c r="J2623" s="247" t="s">
        <v>97</v>
      </c>
      <c r="K2623" s="247" t="s">
        <v>1133</v>
      </c>
      <c r="L2623" s="247" t="s">
        <v>154</v>
      </c>
      <c r="M2623" s="76"/>
      <c r="N2623" s="76"/>
    </row>
    <row r="2624" spans="1:14" ht="15.6">
      <c r="A2624" s="476">
        <v>45927</v>
      </c>
      <c r="B2624" s="469" t="s">
        <v>2720</v>
      </c>
      <c r="C2624" s="469" t="s">
        <v>173</v>
      </c>
      <c r="D2624" s="469" t="s">
        <v>119</v>
      </c>
      <c r="E2624" s="472">
        <v>1000</v>
      </c>
      <c r="F2624" s="463">
        <f t="shared" si="33"/>
        <v>1.8744037053212446</v>
      </c>
      <c r="G2624" s="464">
        <v>533.50300000000004</v>
      </c>
      <c r="H2624" s="469" t="s">
        <v>212</v>
      </c>
      <c r="I2624" s="469" t="s">
        <v>3470</v>
      </c>
      <c r="J2624" s="247" t="s">
        <v>97</v>
      </c>
      <c r="K2624" s="247" t="s">
        <v>1133</v>
      </c>
      <c r="L2624" s="247" t="s">
        <v>154</v>
      </c>
      <c r="M2624" s="76"/>
      <c r="N2624" s="76"/>
    </row>
    <row r="2625" spans="1:14" ht="15.6">
      <c r="A2625" s="476">
        <v>45928</v>
      </c>
      <c r="B2625" s="469" t="s">
        <v>2100</v>
      </c>
      <c r="C2625" s="462" t="s">
        <v>173</v>
      </c>
      <c r="D2625" s="462" t="s">
        <v>118</v>
      </c>
      <c r="E2625" s="359">
        <v>1000</v>
      </c>
      <c r="F2625" s="463"/>
      <c r="G2625" s="464">
        <v>533.50300000000004</v>
      </c>
      <c r="H2625" s="465" t="s">
        <v>152</v>
      </c>
      <c r="I2625" s="469" t="s">
        <v>2868</v>
      </c>
      <c r="J2625" s="247" t="s">
        <v>97</v>
      </c>
      <c r="K2625" s="247" t="s">
        <v>1133</v>
      </c>
      <c r="L2625" s="247" t="s">
        <v>154</v>
      </c>
      <c r="M2625" s="369"/>
      <c r="N2625" s="335"/>
    </row>
    <row r="2626" spans="1:14" ht="15.6">
      <c r="A2626" s="476">
        <v>45928</v>
      </c>
      <c r="B2626" s="469" t="s">
        <v>2384</v>
      </c>
      <c r="C2626" s="462" t="s">
        <v>173</v>
      </c>
      <c r="D2626" s="462" t="s">
        <v>118</v>
      </c>
      <c r="E2626" s="359">
        <v>1000</v>
      </c>
      <c r="F2626" s="463">
        <f t="shared" ref="F2626:F2640" si="34">E2626/G2626</f>
        <v>1.8744037053212446</v>
      </c>
      <c r="G2626" s="464">
        <v>533.50300000000004</v>
      </c>
      <c r="H2626" s="465" t="s">
        <v>152</v>
      </c>
      <c r="I2626" s="469" t="s">
        <v>2868</v>
      </c>
      <c r="J2626" s="247" t="s">
        <v>97</v>
      </c>
      <c r="K2626" s="247" t="s">
        <v>1133</v>
      </c>
      <c r="L2626" s="247" t="s">
        <v>154</v>
      </c>
      <c r="M2626" s="335"/>
      <c r="N2626" s="335"/>
    </row>
    <row r="2627" spans="1:14" ht="15.6">
      <c r="A2627" s="476">
        <v>45928</v>
      </c>
      <c r="B2627" s="469" t="s">
        <v>2863</v>
      </c>
      <c r="C2627" s="462" t="s">
        <v>173</v>
      </c>
      <c r="D2627" s="462" t="s">
        <v>118</v>
      </c>
      <c r="E2627" s="359">
        <v>9000</v>
      </c>
      <c r="F2627" s="463">
        <f t="shared" si="34"/>
        <v>16.869633347891202</v>
      </c>
      <c r="G2627" s="464">
        <v>533.50300000000004</v>
      </c>
      <c r="H2627" s="465" t="s">
        <v>152</v>
      </c>
      <c r="I2627" s="469" t="s">
        <v>2875</v>
      </c>
      <c r="J2627" s="247" t="s">
        <v>97</v>
      </c>
      <c r="K2627" s="247" t="s">
        <v>1133</v>
      </c>
      <c r="L2627" s="247" t="s">
        <v>154</v>
      </c>
      <c r="M2627" s="335"/>
      <c r="N2627" s="335"/>
    </row>
    <row r="2628" spans="1:14" ht="15.6">
      <c r="A2628" s="474">
        <v>45928</v>
      </c>
      <c r="B2628" s="216" t="s">
        <v>2899</v>
      </c>
      <c r="C2628" s="216" t="s">
        <v>173</v>
      </c>
      <c r="D2628" s="337" t="s">
        <v>116</v>
      </c>
      <c r="E2628" s="475">
        <v>1500</v>
      </c>
      <c r="F2628" s="463">
        <f t="shared" si="34"/>
        <v>2.8116055579818666</v>
      </c>
      <c r="G2628" s="464">
        <v>533.50300000000004</v>
      </c>
      <c r="H2628" s="174" t="s">
        <v>199</v>
      </c>
      <c r="I2628" s="216" t="s">
        <v>2911</v>
      </c>
      <c r="J2628" s="247" t="s">
        <v>97</v>
      </c>
      <c r="K2628" s="247" t="s">
        <v>1133</v>
      </c>
      <c r="L2628" s="247" t="s">
        <v>154</v>
      </c>
      <c r="M2628" s="414"/>
      <c r="N2628" s="414"/>
    </row>
    <row r="2629" spans="1:14" ht="15.6">
      <c r="A2629" s="474">
        <v>45928</v>
      </c>
      <c r="B2629" s="216" t="s">
        <v>2897</v>
      </c>
      <c r="C2629" s="216" t="s">
        <v>173</v>
      </c>
      <c r="D2629" s="337" t="s">
        <v>116</v>
      </c>
      <c r="E2629" s="475">
        <v>1000</v>
      </c>
      <c r="F2629" s="463">
        <f t="shared" si="34"/>
        <v>1.8744037053212446</v>
      </c>
      <c r="G2629" s="464">
        <v>533.50300000000004</v>
      </c>
      <c r="H2629" s="174" t="s">
        <v>199</v>
      </c>
      <c r="I2629" s="216" t="s">
        <v>2911</v>
      </c>
      <c r="J2629" s="247" t="s">
        <v>97</v>
      </c>
      <c r="K2629" s="247" t="s">
        <v>1133</v>
      </c>
      <c r="L2629" s="247" t="s">
        <v>154</v>
      </c>
      <c r="M2629" s="414"/>
      <c r="N2629" s="414"/>
    </row>
    <row r="2630" spans="1:14" ht="15.6">
      <c r="A2630" s="474">
        <v>45928</v>
      </c>
      <c r="B2630" s="216" t="s">
        <v>2900</v>
      </c>
      <c r="C2630" s="216" t="s">
        <v>173</v>
      </c>
      <c r="D2630" s="337" t="s">
        <v>116</v>
      </c>
      <c r="E2630" s="475">
        <v>1000</v>
      </c>
      <c r="F2630" s="463">
        <f t="shared" si="34"/>
        <v>1.8744037053212446</v>
      </c>
      <c r="G2630" s="464">
        <v>533.50300000000004</v>
      </c>
      <c r="H2630" s="174" t="s">
        <v>199</v>
      </c>
      <c r="I2630" s="216" t="s">
        <v>2911</v>
      </c>
      <c r="J2630" s="247" t="s">
        <v>97</v>
      </c>
      <c r="K2630" s="247" t="s">
        <v>1133</v>
      </c>
      <c r="L2630" s="247" t="s">
        <v>154</v>
      </c>
      <c r="M2630" s="414"/>
      <c r="N2630" s="414"/>
    </row>
    <row r="2631" spans="1:14" ht="15.6">
      <c r="A2631" s="474">
        <v>45928</v>
      </c>
      <c r="B2631" s="216" t="s">
        <v>2901</v>
      </c>
      <c r="C2631" s="216" t="s">
        <v>173</v>
      </c>
      <c r="D2631" s="337" t="s">
        <v>116</v>
      </c>
      <c r="E2631" s="475">
        <v>1000</v>
      </c>
      <c r="F2631" s="463">
        <f t="shared" si="34"/>
        <v>1.8744037053212446</v>
      </c>
      <c r="G2631" s="464">
        <v>533.50300000000004</v>
      </c>
      <c r="H2631" s="174" t="s">
        <v>199</v>
      </c>
      <c r="I2631" s="216" t="s">
        <v>2911</v>
      </c>
      <c r="J2631" s="247" t="s">
        <v>97</v>
      </c>
      <c r="K2631" s="247" t="s">
        <v>1133</v>
      </c>
      <c r="L2631" s="247" t="s">
        <v>154</v>
      </c>
      <c r="M2631" s="414"/>
      <c r="N2631" s="414"/>
    </row>
    <row r="2632" spans="1:14" ht="15.6">
      <c r="A2632" s="474">
        <v>45928</v>
      </c>
      <c r="B2632" s="216" t="s">
        <v>2898</v>
      </c>
      <c r="C2632" s="216" t="s">
        <v>173</v>
      </c>
      <c r="D2632" s="337" t="s">
        <v>116</v>
      </c>
      <c r="E2632" s="475">
        <v>1000</v>
      </c>
      <c r="F2632" s="463">
        <f t="shared" si="34"/>
        <v>1.8744037053212446</v>
      </c>
      <c r="G2632" s="464">
        <v>533.50300000000004</v>
      </c>
      <c r="H2632" s="174" t="s">
        <v>199</v>
      </c>
      <c r="I2632" s="216" t="s">
        <v>2911</v>
      </c>
      <c r="J2632" s="247" t="s">
        <v>97</v>
      </c>
      <c r="K2632" s="247" t="s">
        <v>1133</v>
      </c>
      <c r="L2632" s="247" t="s">
        <v>154</v>
      </c>
      <c r="M2632" s="414"/>
      <c r="N2632" s="414"/>
    </row>
    <row r="2633" spans="1:14" ht="15.6">
      <c r="A2633" s="474">
        <v>45928</v>
      </c>
      <c r="B2633" s="216" t="s">
        <v>2902</v>
      </c>
      <c r="C2633" s="216" t="s">
        <v>173</v>
      </c>
      <c r="D2633" s="337" t="s">
        <v>116</v>
      </c>
      <c r="E2633" s="475">
        <v>1500</v>
      </c>
      <c r="F2633" s="463">
        <f t="shared" si="34"/>
        <v>2.8116055579818666</v>
      </c>
      <c r="G2633" s="464">
        <v>533.50300000000004</v>
      </c>
      <c r="H2633" s="174" t="s">
        <v>199</v>
      </c>
      <c r="I2633" s="216" t="s">
        <v>2911</v>
      </c>
      <c r="J2633" s="247" t="s">
        <v>97</v>
      </c>
      <c r="K2633" s="247" t="s">
        <v>1133</v>
      </c>
      <c r="L2633" s="247" t="s">
        <v>154</v>
      </c>
      <c r="M2633" s="414"/>
      <c r="N2633" s="414"/>
    </row>
    <row r="2634" spans="1:14" ht="15.6">
      <c r="A2634" s="474">
        <v>45928</v>
      </c>
      <c r="B2634" s="216" t="s">
        <v>2903</v>
      </c>
      <c r="C2634" s="216" t="s">
        <v>173</v>
      </c>
      <c r="D2634" s="337" t="s">
        <v>116</v>
      </c>
      <c r="E2634" s="475">
        <v>9000</v>
      </c>
      <c r="F2634" s="463">
        <f t="shared" si="34"/>
        <v>16.869633347891202</v>
      </c>
      <c r="G2634" s="464">
        <v>533.50300000000004</v>
      </c>
      <c r="H2634" s="174" t="s">
        <v>199</v>
      </c>
      <c r="I2634" s="216" t="s">
        <v>2925</v>
      </c>
      <c r="J2634" s="247" t="s">
        <v>97</v>
      </c>
      <c r="K2634" s="247" t="s">
        <v>1133</v>
      </c>
      <c r="L2634" s="247" t="s">
        <v>154</v>
      </c>
      <c r="M2634" s="414"/>
      <c r="N2634" s="414"/>
    </row>
    <row r="2635" spans="1:14" ht="15.6">
      <c r="A2635" s="467">
        <v>45928</v>
      </c>
      <c r="B2635" s="469" t="s">
        <v>2960</v>
      </c>
      <c r="C2635" s="469" t="s">
        <v>173</v>
      </c>
      <c r="D2635" s="469" t="s">
        <v>117</v>
      </c>
      <c r="E2635" s="470">
        <v>1000</v>
      </c>
      <c r="F2635" s="463">
        <f t="shared" si="34"/>
        <v>1.7827155035636482</v>
      </c>
      <c r="G2635" s="464">
        <v>560.94200000000001</v>
      </c>
      <c r="H2635" s="469" t="s">
        <v>583</v>
      </c>
      <c r="I2635" s="469" t="s">
        <v>2970</v>
      </c>
      <c r="J2635" s="247" t="s">
        <v>97</v>
      </c>
      <c r="K2635" s="247" t="s">
        <v>1903</v>
      </c>
      <c r="L2635" s="247" t="s">
        <v>154</v>
      </c>
      <c r="M2635" s="414"/>
      <c r="N2635" s="414"/>
    </row>
    <row r="2636" spans="1:14" ht="15.6">
      <c r="A2636" s="467">
        <v>45928</v>
      </c>
      <c r="B2636" s="469" t="s">
        <v>2959</v>
      </c>
      <c r="C2636" s="469" t="s">
        <v>173</v>
      </c>
      <c r="D2636" s="469" t="s">
        <v>117</v>
      </c>
      <c r="E2636" s="470">
        <v>1000</v>
      </c>
      <c r="F2636" s="463">
        <f t="shared" si="34"/>
        <v>1.7827155035636482</v>
      </c>
      <c r="G2636" s="464">
        <v>560.94200000000001</v>
      </c>
      <c r="H2636" s="469" t="s">
        <v>583</v>
      </c>
      <c r="I2636" s="469" t="s">
        <v>2970</v>
      </c>
      <c r="J2636" s="247" t="s">
        <v>97</v>
      </c>
      <c r="K2636" s="247" t="s">
        <v>1903</v>
      </c>
      <c r="L2636" s="247" t="s">
        <v>154</v>
      </c>
      <c r="M2636" s="414"/>
      <c r="N2636" s="414"/>
    </row>
    <row r="2637" spans="1:14" ht="15.6">
      <c r="A2637" s="476">
        <v>45928</v>
      </c>
      <c r="B2637" s="469" t="s">
        <v>3970</v>
      </c>
      <c r="C2637" s="469" t="s">
        <v>173</v>
      </c>
      <c r="D2637" s="179" t="s">
        <v>442</v>
      </c>
      <c r="E2637" s="469">
        <v>1000</v>
      </c>
      <c r="F2637" s="463">
        <f t="shared" si="34"/>
        <v>1.7827155035636482</v>
      </c>
      <c r="G2637" s="464">
        <v>560.94200000000001</v>
      </c>
      <c r="H2637" s="469" t="s">
        <v>174</v>
      </c>
      <c r="I2637" s="469" t="s">
        <v>3196</v>
      </c>
      <c r="J2637" s="247" t="s">
        <v>97</v>
      </c>
      <c r="K2637" s="247" t="s">
        <v>1903</v>
      </c>
      <c r="L2637" s="247" t="s">
        <v>154</v>
      </c>
      <c r="M2637" s="414"/>
      <c r="N2637" s="414"/>
    </row>
    <row r="2638" spans="1:14" ht="15.6">
      <c r="A2638" s="476">
        <v>45928</v>
      </c>
      <c r="B2638" s="469" t="s">
        <v>3965</v>
      </c>
      <c r="C2638" s="469" t="s">
        <v>173</v>
      </c>
      <c r="D2638" s="179" t="s">
        <v>442</v>
      </c>
      <c r="E2638" s="469">
        <v>1000</v>
      </c>
      <c r="F2638" s="463">
        <f t="shared" si="34"/>
        <v>1.7827155035636482</v>
      </c>
      <c r="G2638" s="464">
        <v>560.94200000000001</v>
      </c>
      <c r="H2638" s="469" t="s">
        <v>174</v>
      </c>
      <c r="I2638" s="469" t="s">
        <v>3196</v>
      </c>
      <c r="J2638" s="247" t="s">
        <v>97</v>
      </c>
      <c r="K2638" s="247" t="s">
        <v>1903</v>
      </c>
      <c r="L2638" s="247" t="s">
        <v>154</v>
      </c>
      <c r="M2638" s="414"/>
      <c r="N2638" s="414"/>
    </row>
    <row r="2639" spans="1:14" ht="15.6">
      <c r="A2639" s="476">
        <v>45928</v>
      </c>
      <c r="B2639" s="469" t="s">
        <v>3965</v>
      </c>
      <c r="C2639" s="469" t="s">
        <v>173</v>
      </c>
      <c r="D2639" s="179" t="s">
        <v>442</v>
      </c>
      <c r="E2639" s="469">
        <v>1000</v>
      </c>
      <c r="F2639" s="463">
        <f t="shared" si="34"/>
        <v>1.7827155035636482</v>
      </c>
      <c r="G2639" s="464">
        <v>560.94200000000001</v>
      </c>
      <c r="H2639" s="469" t="s">
        <v>174</v>
      </c>
      <c r="I2639" s="469" t="s">
        <v>3196</v>
      </c>
      <c r="J2639" s="247" t="s">
        <v>97</v>
      </c>
      <c r="K2639" s="247" t="s">
        <v>1903</v>
      </c>
      <c r="L2639" s="247" t="s">
        <v>154</v>
      </c>
      <c r="M2639" s="414"/>
      <c r="N2639" s="414"/>
    </row>
    <row r="2640" spans="1:14" ht="15.6">
      <c r="A2640" s="476">
        <v>45928</v>
      </c>
      <c r="B2640" s="469" t="s">
        <v>3180</v>
      </c>
      <c r="C2640" s="469" t="s">
        <v>173</v>
      </c>
      <c r="D2640" s="179" t="s">
        <v>442</v>
      </c>
      <c r="E2640" s="469">
        <v>1000</v>
      </c>
      <c r="F2640" s="463">
        <f t="shared" si="34"/>
        <v>1.7827155035636482</v>
      </c>
      <c r="G2640" s="464">
        <v>560.94200000000001</v>
      </c>
      <c r="H2640" s="469" t="s">
        <v>174</v>
      </c>
      <c r="I2640" s="469" t="s">
        <v>3196</v>
      </c>
      <c r="J2640" s="247" t="s">
        <v>97</v>
      </c>
      <c r="K2640" s="247" t="s">
        <v>1903</v>
      </c>
      <c r="L2640" s="247" t="s">
        <v>154</v>
      </c>
      <c r="M2640" s="335"/>
      <c r="N2640" s="335"/>
    </row>
    <row r="2641" spans="1:14" ht="15.6">
      <c r="A2641" s="476">
        <v>45928</v>
      </c>
      <c r="B2641" s="469" t="s">
        <v>3956</v>
      </c>
      <c r="C2641" s="469" t="s">
        <v>173</v>
      </c>
      <c r="D2641" s="179" t="s">
        <v>442</v>
      </c>
      <c r="E2641" s="469">
        <v>1000</v>
      </c>
      <c r="F2641" s="463"/>
      <c r="G2641" s="464">
        <v>560.94200000000001</v>
      </c>
      <c r="H2641" s="469" t="s">
        <v>174</v>
      </c>
      <c r="I2641" s="469" t="s">
        <v>3196</v>
      </c>
      <c r="J2641" s="247" t="s">
        <v>97</v>
      </c>
      <c r="K2641" s="247" t="s">
        <v>1903</v>
      </c>
      <c r="L2641" s="247" t="s">
        <v>154</v>
      </c>
      <c r="M2641" s="369"/>
      <c r="N2641" s="335"/>
    </row>
    <row r="2642" spans="1:14" ht="15.6">
      <c r="A2642" s="476">
        <v>45928</v>
      </c>
      <c r="B2642" s="469" t="s">
        <v>3182</v>
      </c>
      <c r="C2642" s="469" t="s">
        <v>368</v>
      </c>
      <c r="D2642" s="179" t="s">
        <v>442</v>
      </c>
      <c r="E2642" s="469">
        <v>3500</v>
      </c>
      <c r="F2642" s="463">
        <f t="shared" ref="F2642:F2680" si="35">E2642/G2642</f>
        <v>6.239504262472769</v>
      </c>
      <c r="G2642" s="464">
        <v>560.94200000000001</v>
      </c>
      <c r="H2642" s="469" t="s">
        <v>174</v>
      </c>
      <c r="I2642" s="469" t="s">
        <v>3201</v>
      </c>
      <c r="J2642" s="247" t="s">
        <v>97</v>
      </c>
      <c r="K2642" s="247" t="s">
        <v>1903</v>
      </c>
      <c r="L2642" s="247" t="s">
        <v>154</v>
      </c>
      <c r="M2642" s="335"/>
      <c r="N2642" s="335"/>
    </row>
    <row r="2643" spans="1:14" ht="15.6">
      <c r="A2643" s="461">
        <v>45928</v>
      </c>
      <c r="B2643" s="469" t="s">
        <v>3405</v>
      </c>
      <c r="C2643" s="243" t="s">
        <v>195</v>
      </c>
      <c r="D2643" s="243" t="s">
        <v>116</v>
      </c>
      <c r="E2643" s="478">
        <v>1000</v>
      </c>
      <c r="F2643" s="463">
        <f t="shared" si="35"/>
        <v>1.7827155035636482</v>
      </c>
      <c r="G2643" s="464">
        <v>560.94200000000001</v>
      </c>
      <c r="H2643" s="256" t="s">
        <v>196</v>
      </c>
      <c r="I2643" s="469" t="s">
        <v>3411</v>
      </c>
      <c r="J2643" s="247" t="s">
        <v>97</v>
      </c>
      <c r="K2643" s="247" t="s">
        <v>1903</v>
      </c>
      <c r="L2643" s="247" t="s">
        <v>154</v>
      </c>
      <c r="M2643" s="76"/>
      <c r="N2643" s="76"/>
    </row>
    <row r="2644" spans="1:14" ht="15.6">
      <c r="A2644" s="461">
        <v>45928</v>
      </c>
      <c r="B2644" s="247" t="s">
        <v>3406</v>
      </c>
      <c r="C2644" s="243" t="s">
        <v>195</v>
      </c>
      <c r="D2644" s="243" t="s">
        <v>116</v>
      </c>
      <c r="E2644" s="478">
        <v>9000</v>
      </c>
      <c r="F2644" s="463">
        <f t="shared" si="35"/>
        <v>16.044439532072836</v>
      </c>
      <c r="G2644" s="464">
        <v>560.94200000000001</v>
      </c>
      <c r="H2644" s="256" t="s">
        <v>196</v>
      </c>
      <c r="I2644" s="469" t="s">
        <v>3425</v>
      </c>
      <c r="J2644" s="247" t="s">
        <v>97</v>
      </c>
      <c r="K2644" s="247" t="s">
        <v>1903</v>
      </c>
      <c r="L2644" s="247" t="s">
        <v>154</v>
      </c>
      <c r="M2644" s="76"/>
      <c r="N2644" s="76"/>
    </row>
    <row r="2645" spans="1:14" ht="15.6">
      <c r="A2645" s="461">
        <v>45928</v>
      </c>
      <c r="B2645" s="469" t="s">
        <v>3404</v>
      </c>
      <c r="C2645" s="243" t="s">
        <v>195</v>
      </c>
      <c r="D2645" s="243" t="s">
        <v>116</v>
      </c>
      <c r="E2645" s="478">
        <v>1000</v>
      </c>
      <c r="F2645" s="463">
        <f t="shared" si="35"/>
        <v>1.7827155035636482</v>
      </c>
      <c r="G2645" s="464">
        <v>560.94200000000001</v>
      </c>
      <c r="H2645" s="256" t="s">
        <v>196</v>
      </c>
      <c r="I2645" s="469" t="s">
        <v>3411</v>
      </c>
      <c r="J2645" s="247" t="s">
        <v>97</v>
      </c>
      <c r="K2645" s="247" t="s">
        <v>1903</v>
      </c>
      <c r="L2645" s="247" t="s">
        <v>154</v>
      </c>
      <c r="M2645" s="76"/>
      <c r="N2645" s="76"/>
    </row>
    <row r="2646" spans="1:14" ht="15.6">
      <c r="A2646" s="476">
        <v>45928</v>
      </c>
      <c r="B2646" s="469" t="s">
        <v>2718</v>
      </c>
      <c r="C2646" s="469" t="s">
        <v>173</v>
      </c>
      <c r="D2646" s="469" t="s">
        <v>119</v>
      </c>
      <c r="E2646" s="472">
        <v>1000</v>
      </c>
      <c r="F2646" s="463">
        <f t="shared" si="35"/>
        <v>1.7827155035636482</v>
      </c>
      <c r="G2646" s="464">
        <v>560.94200000000001</v>
      </c>
      <c r="H2646" s="469" t="s">
        <v>212</v>
      </c>
      <c r="I2646" s="469" t="s">
        <v>3470</v>
      </c>
      <c r="J2646" s="247" t="s">
        <v>97</v>
      </c>
      <c r="K2646" s="247" t="s">
        <v>1903</v>
      </c>
      <c r="L2646" s="247" t="s">
        <v>154</v>
      </c>
      <c r="M2646" s="76"/>
      <c r="N2646" s="76"/>
    </row>
    <row r="2647" spans="1:14" ht="15.6">
      <c r="A2647" s="476">
        <v>45928</v>
      </c>
      <c r="B2647" s="469" t="s">
        <v>3465</v>
      </c>
      <c r="C2647" s="469" t="s">
        <v>173</v>
      </c>
      <c r="D2647" s="469" t="s">
        <v>119</v>
      </c>
      <c r="E2647" s="472">
        <v>9000</v>
      </c>
      <c r="F2647" s="463">
        <f t="shared" si="35"/>
        <v>16.044439532072836</v>
      </c>
      <c r="G2647" s="464">
        <v>560.94200000000001</v>
      </c>
      <c r="H2647" s="469" t="s">
        <v>212</v>
      </c>
      <c r="I2647" s="469" t="s">
        <v>3483</v>
      </c>
      <c r="J2647" s="247" t="s">
        <v>97</v>
      </c>
      <c r="K2647" s="247" t="s">
        <v>1903</v>
      </c>
      <c r="L2647" s="247" t="s">
        <v>154</v>
      </c>
      <c r="M2647" s="76"/>
      <c r="N2647" s="76"/>
    </row>
    <row r="2648" spans="1:14" ht="15.6">
      <c r="A2648" s="476">
        <v>45928</v>
      </c>
      <c r="B2648" s="469" t="s">
        <v>2720</v>
      </c>
      <c r="C2648" s="469" t="s">
        <v>173</v>
      </c>
      <c r="D2648" s="469" t="s">
        <v>119</v>
      </c>
      <c r="E2648" s="472">
        <v>1000</v>
      </c>
      <c r="F2648" s="463">
        <f t="shared" si="35"/>
        <v>1.7827155035636482</v>
      </c>
      <c r="G2648" s="464">
        <v>560.94200000000001</v>
      </c>
      <c r="H2648" s="469" t="s">
        <v>212</v>
      </c>
      <c r="I2648" s="469" t="s">
        <v>3470</v>
      </c>
      <c r="J2648" s="247" t="s">
        <v>97</v>
      </c>
      <c r="K2648" s="247" t="s">
        <v>1903</v>
      </c>
      <c r="L2648" s="247" t="s">
        <v>154</v>
      </c>
      <c r="M2648" s="76"/>
      <c r="N2648" s="76"/>
    </row>
    <row r="2649" spans="1:14" ht="15.6">
      <c r="A2649" s="476">
        <v>45929</v>
      </c>
      <c r="B2649" s="469" t="s">
        <v>2864</v>
      </c>
      <c r="C2649" s="462" t="s">
        <v>173</v>
      </c>
      <c r="D2649" s="462" t="s">
        <v>118</v>
      </c>
      <c r="E2649" s="359">
        <v>1000</v>
      </c>
      <c r="F2649" s="463">
        <f t="shared" si="35"/>
        <v>1.7827155035636482</v>
      </c>
      <c r="G2649" s="464">
        <v>560.94200000000001</v>
      </c>
      <c r="H2649" s="465" t="s">
        <v>152</v>
      </c>
      <c r="I2649" s="469" t="s">
        <v>2868</v>
      </c>
      <c r="J2649" s="247" t="s">
        <v>97</v>
      </c>
      <c r="K2649" s="247" t="s">
        <v>1903</v>
      </c>
      <c r="L2649" s="247" t="s">
        <v>154</v>
      </c>
      <c r="M2649" s="335"/>
      <c r="N2649" s="335"/>
    </row>
    <row r="2650" spans="1:14" ht="15.6">
      <c r="A2650" s="476">
        <v>45929</v>
      </c>
      <c r="B2650" s="359" t="s">
        <v>2866</v>
      </c>
      <c r="C2650" s="462" t="s">
        <v>151</v>
      </c>
      <c r="D2650" s="462" t="s">
        <v>118</v>
      </c>
      <c r="E2650" s="359">
        <v>12500</v>
      </c>
      <c r="F2650" s="463">
        <f t="shared" si="35"/>
        <v>22.283943794545603</v>
      </c>
      <c r="G2650" s="464">
        <v>560.94200000000001</v>
      </c>
      <c r="H2650" s="465" t="s">
        <v>152</v>
      </c>
      <c r="I2650" s="469" t="s">
        <v>2877</v>
      </c>
      <c r="J2650" s="247" t="s">
        <v>97</v>
      </c>
      <c r="K2650" s="247" t="s">
        <v>1903</v>
      </c>
      <c r="L2650" s="247" t="s">
        <v>154</v>
      </c>
      <c r="M2650" s="414"/>
      <c r="N2650" s="414"/>
    </row>
    <row r="2651" spans="1:14" ht="15.6">
      <c r="A2651" s="476">
        <v>45929</v>
      </c>
      <c r="B2651" s="469" t="s">
        <v>2867</v>
      </c>
      <c r="C2651" s="462" t="s">
        <v>2391</v>
      </c>
      <c r="D2651" s="462" t="s">
        <v>118</v>
      </c>
      <c r="E2651" s="359">
        <v>30000</v>
      </c>
      <c r="F2651" s="463">
        <f t="shared" si="35"/>
        <v>53.481465106909447</v>
      </c>
      <c r="G2651" s="464">
        <v>560.94200000000001</v>
      </c>
      <c r="H2651" s="465" t="s">
        <v>152</v>
      </c>
      <c r="I2651" s="469" t="s">
        <v>2868</v>
      </c>
      <c r="J2651" s="247" t="s">
        <v>97</v>
      </c>
      <c r="K2651" s="247" t="s">
        <v>1903</v>
      </c>
      <c r="L2651" s="247" t="s">
        <v>154</v>
      </c>
      <c r="M2651" s="414"/>
      <c r="N2651" s="414"/>
    </row>
    <row r="2652" spans="1:14" ht="15.6">
      <c r="A2652" s="474">
        <v>45929</v>
      </c>
      <c r="B2652" s="247" t="s">
        <v>2904</v>
      </c>
      <c r="C2652" s="243" t="s">
        <v>151</v>
      </c>
      <c r="D2652" s="243" t="s">
        <v>116</v>
      </c>
      <c r="E2652" s="475">
        <v>10000</v>
      </c>
      <c r="F2652" s="463">
        <f t="shared" si="35"/>
        <v>17.827155035636483</v>
      </c>
      <c r="G2652" s="464">
        <v>560.94200000000001</v>
      </c>
      <c r="H2652" s="174" t="s">
        <v>199</v>
      </c>
      <c r="I2652" s="216" t="s">
        <v>2926</v>
      </c>
      <c r="J2652" s="247" t="s">
        <v>97</v>
      </c>
      <c r="K2652" s="247" t="s">
        <v>1903</v>
      </c>
      <c r="L2652" s="247" t="s">
        <v>154</v>
      </c>
      <c r="M2652" s="335"/>
      <c r="N2652" s="335"/>
    </row>
    <row r="2653" spans="1:14" ht="15.6">
      <c r="A2653" s="474">
        <v>45929</v>
      </c>
      <c r="B2653" s="216" t="s">
        <v>2905</v>
      </c>
      <c r="C2653" s="216" t="s">
        <v>2391</v>
      </c>
      <c r="D2653" s="337" t="s">
        <v>116</v>
      </c>
      <c r="E2653" s="475">
        <v>60000</v>
      </c>
      <c r="F2653" s="463">
        <f t="shared" si="35"/>
        <v>106.96293021381889</v>
      </c>
      <c r="G2653" s="464">
        <v>560.94200000000001</v>
      </c>
      <c r="H2653" s="174" t="s">
        <v>199</v>
      </c>
      <c r="I2653" s="216" t="s">
        <v>2927</v>
      </c>
      <c r="J2653" s="247" t="s">
        <v>97</v>
      </c>
      <c r="K2653" s="247" t="s">
        <v>1903</v>
      </c>
      <c r="L2653" s="247" t="s">
        <v>154</v>
      </c>
      <c r="M2653" s="335"/>
      <c r="N2653" s="335"/>
    </row>
    <row r="2654" spans="1:14" ht="15.6">
      <c r="A2654" s="474">
        <v>45929</v>
      </c>
      <c r="B2654" s="216" t="s">
        <v>2906</v>
      </c>
      <c r="C2654" s="216" t="s">
        <v>173</v>
      </c>
      <c r="D2654" s="337" t="s">
        <v>116</v>
      </c>
      <c r="E2654" s="475">
        <v>2500</v>
      </c>
      <c r="F2654" s="463">
        <f t="shared" si="35"/>
        <v>4.4567887589091209</v>
      </c>
      <c r="G2654" s="464">
        <v>560.94200000000001</v>
      </c>
      <c r="H2654" s="174" t="s">
        <v>199</v>
      </c>
      <c r="I2654" s="216" t="s">
        <v>2911</v>
      </c>
      <c r="J2654" s="247" t="s">
        <v>97</v>
      </c>
      <c r="K2654" s="247" t="s">
        <v>1903</v>
      </c>
      <c r="L2654" s="247" t="s">
        <v>154</v>
      </c>
      <c r="M2654" s="335"/>
      <c r="N2654" s="335"/>
    </row>
    <row r="2655" spans="1:14" ht="15.6">
      <c r="A2655" s="467">
        <v>45929</v>
      </c>
      <c r="B2655" s="469" t="s">
        <v>2961</v>
      </c>
      <c r="C2655" s="469" t="s">
        <v>173</v>
      </c>
      <c r="D2655" s="469" t="s">
        <v>117</v>
      </c>
      <c r="E2655" s="470">
        <v>1500</v>
      </c>
      <c r="F2655" s="463">
        <f t="shared" si="35"/>
        <v>2.6740732553454722</v>
      </c>
      <c r="G2655" s="464">
        <v>560.94200000000001</v>
      </c>
      <c r="H2655" s="469" t="s">
        <v>583</v>
      </c>
      <c r="I2655" s="469" t="s">
        <v>2970</v>
      </c>
      <c r="J2655" s="247" t="s">
        <v>97</v>
      </c>
      <c r="K2655" s="247" t="s">
        <v>1903</v>
      </c>
      <c r="L2655" s="247" t="s">
        <v>154</v>
      </c>
      <c r="M2655" s="414"/>
      <c r="N2655" s="414"/>
    </row>
    <row r="2656" spans="1:14" ht="15.6">
      <c r="A2656" s="467">
        <v>45929</v>
      </c>
      <c r="B2656" s="469" t="s">
        <v>2962</v>
      </c>
      <c r="C2656" s="469" t="s">
        <v>173</v>
      </c>
      <c r="D2656" s="469" t="s">
        <v>117</v>
      </c>
      <c r="E2656" s="470">
        <v>500</v>
      </c>
      <c r="F2656" s="463">
        <f t="shared" si="35"/>
        <v>0.89135775178182408</v>
      </c>
      <c r="G2656" s="464">
        <v>560.94200000000001</v>
      </c>
      <c r="H2656" s="469" t="s">
        <v>583</v>
      </c>
      <c r="I2656" s="469" t="s">
        <v>2970</v>
      </c>
      <c r="J2656" s="247" t="s">
        <v>97</v>
      </c>
      <c r="K2656" s="247" t="s">
        <v>1903</v>
      </c>
      <c r="L2656" s="247" t="s">
        <v>154</v>
      </c>
      <c r="M2656" s="414"/>
      <c r="N2656" s="414"/>
    </row>
    <row r="2657" spans="1:14" ht="15.6">
      <c r="A2657" s="467">
        <v>45929</v>
      </c>
      <c r="B2657" s="469" t="s">
        <v>2940</v>
      </c>
      <c r="C2657" s="469" t="s">
        <v>173</v>
      </c>
      <c r="D2657" s="469" t="s">
        <v>117</v>
      </c>
      <c r="E2657" s="470">
        <v>1500</v>
      </c>
      <c r="F2657" s="463">
        <f t="shared" si="35"/>
        <v>2.6740732553454722</v>
      </c>
      <c r="G2657" s="464">
        <v>560.94200000000001</v>
      </c>
      <c r="H2657" s="469" t="s">
        <v>583</v>
      </c>
      <c r="I2657" s="469" t="s">
        <v>2970</v>
      </c>
      <c r="J2657" s="247" t="s">
        <v>97</v>
      </c>
      <c r="K2657" s="247" t="s">
        <v>1903</v>
      </c>
      <c r="L2657" s="247" t="s">
        <v>154</v>
      </c>
      <c r="M2657" s="414"/>
      <c r="N2657" s="414"/>
    </row>
    <row r="2658" spans="1:14" ht="15.6">
      <c r="A2658" s="467">
        <v>45929</v>
      </c>
      <c r="B2658" s="469" t="s">
        <v>2963</v>
      </c>
      <c r="C2658" s="472" t="s">
        <v>151</v>
      </c>
      <c r="D2658" s="469" t="s">
        <v>118</v>
      </c>
      <c r="E2658" s="470">
        <v>7500</v>
      </c>
      <c r="F2658" s="463">
        <f t="shared" si="35"/>
        <v>13.370366276727362</v>
      </c>
      <c r="G2658" s="464">
        <v>560.94200000000001</v>
      </c>
      <c r="H2658" s="469" t="s">
        <v>583</v>
      </c>
      <c r="I2658" s="469" t="s">
        <v>2984</v>
      </c>
      <c r="J2658" s="247" t="s">
        <v>97</v>
      </c>
      <c r="K2658" s="247" t="s">
        <v>1903</v>
      </c>
      <c r="L2658" s="247" t="s">
        <v>154</v>
      </c>
      <c r="M2658" s="414"/>
      <c r="N2658" s="414"/>
    </row>
    <row r="2659" spans="1:14" ht="15.6">
      <c r="A2659" s="474">
        <v>45929</v>
      </c>
      <c r="B2659" s="475" t="s">
        <v>3857</v>
      </c>
      <c r="C2659" s="475" t="s">
        <v>173</v>
      </c>
      <c r="D2659" s="179" t="s">
        <v>442</v>
      </c>
      <c r="E2659" s="475">
        <v>1000</v>
      </c>
      <c r="F2659" s="463">
        <f t="shared" si="35"/>
        <v>1.7827155035636482</v>
      </c>
      <c r="G2659" s="464">
        <v>560.94200000000001</v>
      </c>
      <c r="H2659" s="475" t="s">
        <v>183</v>
      </c>
      <c r="I2659" s="475" t="s">
        <v>3086</v>
      </c>
      <c r="J2659" s="247" t="s">
        <v>97</v>
      </c>
      <c r="K2659" s="247" t="s">
        <v>1903</v>
      </c>
      <c r="L2659" s="247" t="s">
        <v>154</v>
      </c>
      <c r="M2659" s="414"/>
      <c r="N2659" s="414"/>
    </row>
    <row r="2660" spans="1:14" ht="15.6">
      <c r="A2660" s="474">
        <v>45929</v>
      </c>
      <c r="B2660" s="475" t="s">
        <v>3858</v>
      </c>
      <c r="C2660" s="475" t="s">
        <v>173</v>
      </c>
      <c r="D2660" s="179" t="s">
        <v>442</v>
      </c>
      <c r="E2660" s="475">
        <v>1000</v>
      </c>
      <c r="F2660" s="463">
        <f t="shared" si="35"/>
        <v>1.7827155035636482</v>
      </c>
      <c r="G2660" s="464">
        <v>560.94200000000001</v>
      </c>
      <c r="H2660" s="475" t="s">
        <v>183</v>
      </c>
      <c r="I2660" s="475" t="s">
        <v>3086</v>
      </c>
      <c r="J2660" s="247" t="s">
        <v>97</v>
      </c>
      <c r="K2660" s="247" t="s">
        <v>1903</v>
      </c>
      <c r="L2660" s="247" t="s">
        <v>154</v>
      </c>
      <c r="M2660" s="414"/>
      <c r="N2660" s="414"/>
    </row>
    <row r="2661" spans="1:14" ht="15.6">
      <c r="A2661" s="474">
        <v>45929</v>
      </c>
      <c r="B2661" s="475" t="s">
        <v>3859</v>
      </c>
      <c r="C2661" s="475" t="s">
        <v>173</v>
      </c>
      <c r="D2661" s="179" t="s">
        <v>442</v>
      </c>
      <c r="E2661" s="475">
        <v>1000</v>
      </c>
      <c r="F2661" s="463">
        <f t="shared" si="35"/>
        <v>1.7827155035636482</v>
      </c>
      <c r="G2661" s="464">
        <v>560.94200000000001</v>
      </c>
      <c r="H2661" s="475" t="s">
        <v>183</v>
      </c>
      <c r="I2661" s="475" t="s">
        <v>3086</v>
      </c>
      <c r="J2661" s="247" t="s">
        <v>97</v>
      </c>
      <c r="K2661" s="247" t="s">
        <v>1903</v>
      </c>
      <c r="L2661" s="247" t="s">
        <v>154</v>
      </c>
      <c r="M2661" s="414"/>
      <c r="N2661" s="414"/>
    </row>
    <row r="2662" spans="1:14" ht="15.6">
      <c r="A2662" s="474">
        <v>45929</v>
      </c>
      <c r="B2662" s="475" t="s">
        <v>3860</v>
      </c>
      <c r="C2662" s="475" t="s">
        <v>173</v>
      </c>
      <c r="D2662" s="179" t="s">
        <v>442</v>
      </c>
      <c r="E2662" s="475">
        <v>1000</v>
      </c>
      <c r="F2662" s="463">
        <f t="shared" si="35"/>
        <v>1.7827155035636482</v>
      </c>
      <c r="G2662" s="464">
        <v>560.94200000000001</v>
      </c>
      <c r="H2662" s="475" t="s">
        <v>183</v>
      </c>
      <c r="I2662" s="475" t="s">
        <v>3086</v>
      </c>
      <c r="J2662" s="247" t="s">
        <v>97</v>
      </c>
      <c r="K2662" s="247" t="s">
        <v>1903</v>
      </c>
      <c r="L2662" s="247" t="s">
        <v>154</v>
      </c>
      <c r="M2662" s="414"/>
      <c r="N2662" s="414"/>
    </row>
    <row r="2663" spans="1:14" ht="15.6">
      <c r="A2663" s="474">
        <v>45929</v>
      </c>
      <c r="B2663" s="475" t="s">
        <v>3861</v>
      </c>
      <c r="C2663" s="475" t="s">
        <v>173</v>
      </c>
      <c r="D2663" s="179" t="s">
        <v>442</v>
      </c>
      <c r="E2663" s="475">
        <v>1000</v>
      </c>
      <c r="F2663" s="463">
        <f t="shared" si="35"/>
        <v>1.7827155035636482</v>
      </c>
      <c r="G2663" s="464">
        <v>560.94200000000001</v>
      </c>
      <c r="H2663" s="475" t="s">
        <v>183</v>
      </c>
      <c r="I2663" s="475" t="s">
        <v>3086</v>
      </c>
      <c r="J2663" s="247" t="s">
        <v>97</v>
      </c>
      <c r="K2663" s="247" t="s">
        <v>1903</v>
      </c>
      <c r="L2663" s="247" t="s">
        <v>154</v>
      </c>
      <c r="M2663" s="414"/>
      <c r="N2663" s="414"/>
    </row>
    <row r="2664" spans="1:14" ht="15.6">
      <c r="A2664" s="474">
        <v>45929</v>
      </c>
      <c r="B2664" s="475" t="s">
        <v>3862</v>
      </c>
      <c r="C2664" s="475" t="s">
        <v>173</v>
      </c>
      <c r="D2664" s="179" t="s">
        <v>442</v>
      </c>
      <c r="E2664" s="475">
        <v>1000</v>
      </c>
      <c r="F2664" s="463">
        <f t="shared" si="35"/>
        <v>1.7827155035636482</v>
      </c>
      <c r="G2664" s="464">
        <v>560.94200000000001</v>
      </c>
      <c r="H2664" s="475" t="s">
        <v>183</v>
      </c>
      <c r="I2664" s="475" t="s">
        <v>3086</v>
      </c>
      <c r="J2664" s="247" t="s">
        <v>97</v>
      </c>
      <c r="K2664" s="247" t="s">
        <v>1903</v>
      </c>
      <c r="L2664" s="247" t="s">
        <v>154</v>
      </c>
      <c r="M2664" s="414"/>
      <c r="N2664" s="414"/>
    </row>
    <row r="2665" spans="1:14" ht="15.6">
      <c r="A2665" s="474">
        <v>45929</v>
      </c>
      <c r="B2665" s="339" t="s">
        <v>3083</v>
      </c>
      <c r="C2665" s="339" t="s">
        <v>151</v>
      </c>
      <c r="D2665" s="179" t="s">
        <v>442</v>
      </c>
      <c r="E2665" s="475">
        <v>10000</v>
      </c>
      <c r="F2665" s="463">
        <f t="shared" si="35"/>
        <v>17.827155035636483</v>
      </c>
      <c r="G2665" s="464">
        <v>560.94200000000001</v>
      </c>
      <c r="H2665" s="475" t="s">
        <v>183</v>
      </c>
      <c r="I2665" s="475" t="s">
        <v>3107</v>
      </c>
      <c r="J2665" s="247" t="s">
        <v>97</v>
      </c>
      <c r="K2665" s="247" t="s">
        <v>1903</v>
      </c>
      <c r="L2665" s="247" t="s">
        <v>154</v>
      </c>
      <c r="M2665" s="335"/>
      <c r="N2665" s="335"/>
    </row>
    <row r="2666" spans="1:14" ht="15.6">
      <c r="A2666" s="476">
        <v>45929</v>
      </c>
      <c r="B2666" s="469" t="s">
        <v>3971</v>
      </c>
      <c r="C2666" s="469" t="s">
        <v>173</v>
      </c>
      <c r="D2666" s="179" t="s">
        <v>442</v>
      </c>
      <c r="E2666" s="469">
        <v>1000</v>
      </c>
      <c r="F2666" s="463">
        <f t="shared" si="35"/>
        <v>1.7827155035636482</v>
      </c>
      <c r="G2666" s="464">
        <v>560.94200000000001</v>
      </c>
      <c r="H2666" s="469" t="s">
        <v>174</v>
      </c>
      <c r="I2666" s="469" t="s">
        <v>3196</v>
      </c>
      <c r="J2666" s="247" t="s">
        <v>97</v>
      </c>
      <c r="K2666" s="247" t="s">
        <v>1903</v>
      </c>
      <c r="L2666" s="247" t="s">
        <v>154</v>
      </c>
      <c r="M2666" s="335"/>
      <c r="N2666" s="335"/>
    </row>
    <row r="2667" spans="1:14" ht="15.6">
      <c r="A2667" s="476">
        <v>45929</v>
      </c>
      <c r="B2667" s="469" t="s">
        <v>3972</v>
      </c>
      <c r="C2667" s="469" t="s">
        <v>173</v>
      </c>
      <c r="D2667" s="179" t="s">
        <v>442</v>
      </c>
      <c r="E2667" s="469">
        <v>1000</v>
      </c>
      <c r="F2667" s="463">
        <f t="shared" si="35"/>
        <v>1.7827155035636482</v>
      </c>
      <c r="G2667" s="464">
        <v>560.94200000000001</v>
      </c>
      <c r="H2667" s="469" t="s">
        <v>174</v>
      </c>
      <c r="I2667" s="469" t="s">
        <v>3196</v>
      </c>
      <c r="J2667" s="247" t="s">
        <v>97</v>
      </c>
      <c r="K2667" s="247" t="s">
        <v>1903</v>
      </c>
      <c r="L2667" s="247" t="s">
        <v>154</v>
      </c>
      <c r="M2667" s="335"/>
      <c r="N2667" s="335"/>
    </row>
    <row r="2668" spans="1:14" ht="15.6">
      <c r="A2668" s="476">
        <v>45929</v>
      </c>
      <c r="B2668" s="469" t="s">
        <v>3973</v>
      </c>
      <c r="C2668" s="469" t="s">
        <v>173</v>
      </c>
      <c r="D2668" s="179" t="s">
        <v>442</v>
      </c>
      <c r="E2668" s="469">
        <v>1000</v>
      </c>
      <c r="F2668" s="463">
        <f t="shared" si="35"/>
        <v>1.7827155035636482</v>
      </c>
      <c r="G2668" s="464">
        <v>560.94200000000001</v>
      </c>
      <c r="H2668" s="469" t="s">
        <v>174</v>
      </c>
      <c r="I2668" s="469" t="s">
        <v>3196</v>
      </c>
      <c r="J2668" s="247" t="s">
        <v>97</v>
      </c>
      <c r="K2668" s="247" t="s">
        <v>1903</v>
      </c>
      <c r="L2668" s="247" t="s">
        <v>154</v>
      </c>
      <c r="M2668" s="335"/>
      <c r="N2668" s="335"/>
    </row>
    <row r="2669" spans="1:14" ht="15.6">
      <c r="A2669" s="476">
        <v>45929</v>
      </c>
      <c r="B2669" s="469" t="s">
        <v>3972</v>
      </c>
      <c r="C2669" s="469" t="s">
        <v>173</v>
      </c>
      <c r="D2669" s="179" t="s">
        <v>442</v>
      </c>
      <c r="E2669" s="469">
        <v>1000</v>
      </c>
      <c r="F2669" s="463">
        <f t="shared" si="35"/>
        <v>1.7827155035636482</v>
      </c>
      <c r="G2669" s="464">
        <v>560.94200000000001</v>
      </c>
      <c r="H2669" s="469" t="s">
        <v>174</v>
      </c>
      <c r="I2669" s="469" t="s">
        <v>3196</v>
      </c>
      <c r="J2669" s="247" t="s">
        <v>97</v>
      </c>
      <c r="K2669" s="247" t="s">
        <v>1903</v>
      </c>
      <c r="L2669" s="247" t="s">
        <v>154</v>
      </c>
      <c r="M2669" s="335"/>
      <c r="N2669" s="335"/>
    </row>
    <row r="2670" spans="1:14" ht="15.6">
      <c r="A2670" s="476">
        <v>45929</v>
      </c>
      <c r="B2670" s="469" t="s">
        <v>3974</v>
      </c>
      <c r="C2670" s="469" t="s">
        <v>173</v>
      </c>
      <c r="D2670" s="179" t="s">
        <v>442</v>
      </c>
      <c r="E2670" s="469">
        <v>1000</v>
      </c>
      <c r="F2670" s="463">
        <f t="shared" si="35"/>
        <v>1.7827155035636482</v>
      </c>
      <c r="G2670" s="464">
        <v>560.94200000000001</v>
      </c>
      <c r="H2670" s="469" t="s">
        <v>174</v>
      </c>
      <c r="I2670" s="469" t="s">
        <v>3196</v>
      </c>
      <c r="J2670" s="247" t="s">
        <v>97</v>
      </c>
      <c r="K2670" s="247" t="s">
        <v>1903</v>
      </c>
      <c r="L2670" s="247" t="s">
        <v>154</v>
      </c>
      <c r="M2670" s="179"/>
      <c r="N2670" s="179"/>
    </row>
    <row r="2671" spans="1:14" ht="15.6">
      <c r="A2671" s="476">
        <v>45929</v>
      </c>
      <c r="B2671" s="469" t="s">
        <v>3188</v>
      </c>
      <c r="C2671" s="469" t="s">
        <v>368</v>
      </c>
      <c r="D2671" s="179" t="s">
        <v>442</v>
      </c>
      <c r="E2671" s="469">
        <v>12500</v>
      </c>
      <c r="F2671" s="463">
        <f t="shared" si="35"/>
        <v>22.283943794545603</v>
      </c>
      <c r="G2671" s="464">
        <v>560.94200000000001</v>
      </c>
      <c r="H2671" s="469" t="s">
        <v>174</v>
      </c>
      <c r="I2671" s="469" t="s">
        <v>3201</v>
      </c>
      <c r="J2671" s="247" t="s">
        <v>97</v>
      </c>
      <c r="K2671" s="247" t="s">
        <v>1903</v>
      </c>
      <c r="L2671" s="247" t="s">
        <v>154</v>
      </c>
      <c r="M2671" s="414"/>
      <c r="N2671" s="414"/>
    </row>
    <row r="2672" spans="1:14" ht="15.6">
      <c r="A2672" s="476">
        <v>45929</v>
      </c>
      <c r="B2672" s="339" t="s">
        <v>3189</v>
      </c>
      <c r="C2672" s="339" t="s">
        <v>151</v>
      </c>
      <c r="D2672" s="179" t="s">
        <v>442</v>
      </c>
      <c r="E2672" s="469">
        <v>10000</v>
      </c>
      <c r="F2672" s="463">
        <f t="shared" si="35"/>
        <v>17.827155035636483</v>
      </c>
      <c r="G2672" s="464">
        <v>560.94200000000001</v>
      </c>
      <c r="H2672" s="469" t="s">
        <v>174</v>
      </c>
      <c r="I2672" s="469" t="s">
        <v>3215</v>
      </c>
      <c r="J2672" s="247" t="s">
        <v>97</v>
      </c>
      <c r="K2672" s="247" t="s">
        <v>1903</v>
      </c>
      <c r="L2672" s="247" t="s">
        <v>154</v>
      </c>
      <c r="M2672" s="414"/>
      <c r="N2672" s="414"/>
    </row>
    <row r="2673" spans="1:14" ht="15.6">
      <c r="A2673" s="476">
        <v>45929</v>
      </c>
      <c r="B2673" s="469" t="s">
        <v>3257</v>
      </c>
      <c r="C2673" s="469" t="s">
        <v>151</v>
      </c>
      <c r="D2673" s="179" t="s">
        <v>442</v>
      </c>
      <c r="E2673" s="469">
        <v>10000</v>
      </c>
      <c r="F2673" s="463">
        <f t="shared" si="35"/>
        <v>17.827155035636483</v>
      </c>
      <c r="G2673" s="464">
        <v>560.94200000000001</v>
      </c>
      <c r="H2673" s="469" t="s">
        <v>316</v>
      </c>
      <c r="I2673" s="247" t="s">
        <v>3274</v>
      </c>
      <c r="J2673" s="247" t="s">
        <v>97</v>
      </c>
      <c r="K2673" s="247" t="s">
        <v>1903</v>
      </c>
      <c r="L2673" s="247" t="s">
        <v>154</v>
      </c>
      <c r="M2673" s="335"/>
      <c r="N2673" s="335"/>
    </row>
    <row r="2674" spans="1:14" ht="15.6">
      <c r="A2674" s="476">
        <v>45929</v>
      </c>
      <c r="B2674" s="469" t="s">
        <v>3297</v>
      </c>
      <c r="C2674" s="469" t="s">
        <v>151</v>
      </c>
      <c r="D2674" s="179" t="s">
        <v>442</v>
      </c>
      <c r="E2674" s="472">
        <v>10000</v>
      </c>
      <c r="F2674" s="463">
        <f t="shared" si="35"/>
        <v>17.827155035636483</v>
      </c>
      <c r="G2674" s="464">
        <v>560.94200000000001</v>
      </c>
      <c r="H2674" s="469" t="s">
        <v>322</v>
      </c>
      <c r="I2674" s="469" t="s">
        <v>3304</v>
      </c>
      <c r="J2674" s="247" t="s">
        <v>97</v>
      </c>
      <c r="K2674" s="247" t="s">
        <v>1903</v>
      </c>
      <c r="L2674" s="247" t="s">
        <v>154</v>
      </c>
      <c r="M2674" s="335"/>
      <c r="N2674" s="335"/>
    </row>
    <row r="2675" spans="1:14" ht="15.6">
      <c r="A2675" s="476">
        <v>45929</v>
      </c>
      <c r="B2675" s="469" t="s">
        <v>3322</v>
      </c>
      <c r="C2675" s="469" t="s">
        <v>151</v>
      </c>
      <c r="D2675" s="469" t="s">
        <v>116</v>
      </c>
      <c r="E2675" s="470">
        <v>7500</v>
      </c>
      <c r="F2675" s="463">
        <f t="shared" si="35"/>
        <v>13.370366276727362</v>
      </c>
      <c r="G2675" s="464">
        <v>560.94200000000001</v>
      </c>
      <c r="H2675" s="469" t="s">
        <v>189</v>
      </c>
      <c r="I2675" s="247" t="s">
        <v>3332</v>
      </c>
      <c r="J2675" s="247" t="s">
        <v>97</v>
      </c>
      <c r="K2675" s="247" t="s">
        <v>1903</v>
      </c>
      <c r="L2675" s="247" t="s">
        <v>154</v>
      </c>
      <c r="M2675" s="127"/>
      <c r="N2675" s="127"/>
    </row>
    <row r="2676" spans="1:14" ht="15.6">
      <c r="A2676" s="471">
        <v>45929</v>
      </c>
      <c r="B2676" s="469" t="s">
        <v>3359</v>
      </c>
      <c r="C2676" s="469" t="s">
        <v>151</v>
      </c>
      <c r="D2676" s="247" t="s">
        <v>116</v>
      </c>
      <c r="E2676" s="468">
        <v>7500</v>
      </c>
      <c r="F2676" s="463">
        <f t="shared" si="35"/>
        <v>13.370366276727362</v>
      </c>
      <c r="G2676" s="464">
        <v>560.94200000000001</v>
      </c>
      <c r="H2676" s="247" t="s">
        <v>192</v>
      </c>
      <c r="I2676" s="469" t="s">
        <v>3373</v>
      </c>
      <c r="J2676" s="247" t="s">
        <v>97</v>
      </c>
      <c r="K2676" s="247" t="s">
        <v>1903</v>
      </c>
      <c r="L2676" s="247" t="s">
        <v>154</v>
      </c>
      <c r="M2676" s="76"/>
      <c r="N2676" s="76"/>
    </row>
    <row r="2677" spans="1:14" ht="15.6">
      <c r="A2677" s="461">
        <v>45929</v>
      </c>
      <c r="B2677" s="469" t="s">
        <v>3407</v>
      </c>
      <c r="C2677" s="243" t="s">
        <v>195</v>
      </c>
      <c r="D2677" s="243" t="s">
        <v>116</v>
      </c>
      <c r="E2677" s="478">
        <v>1000</v>
      </c>
      <c r="F2677" s="463">
        <f t="shared" si="35"/>
        <v>1.7827155035636482</v>
      </c>
      <c r="G2677" s="464">
        <v>560.94200000000001</v>
      </c>
      <c r="H2677" s="256" t="s">
        <v>196</v>
      </c>
      <c r="I2677" s="469" t="s">
        <v>3411</v>
      </c>
      <c r="J2677" s="247" t="s">
        <v>97</v>
      </c>
      <c r="K2677" s="247" t="s">
        <v>1903</v>
      </c>
      <c r="L2677" s="247" t="s">
        <v>154</v>
      </c>
      <c r="M2677" s="76"/>
      <c r="N2677" s="76"/>
    </row>
    <row r="2678" spans="1:14" ht="15.6">
      <c r="A2678" s="461">
        <v>45929</v>
      </c>
      <c r="B2678" s="247" t="s">
        <v>3408</v>
      </c>
      <c r="C2678" s="243" t="s">
        <v>151</v>
      </c>
      <c r="D2678" s="243" t="s">
        <v>116</v>
      </c>
      <c r="E2678" s="478">
        <v>10000</v>
      </c>
      <c r="F2678" s="463">
        <f t="shared" si="35"/>
        <v>17.827155035636483</v>
      </c>
      <c r="G2678" s="464">
        <v>560.94200000000001</v>
      </c>
      <c r="H2678" s="256" t="s">
        <v>196</v>
      </c>
      <c r="I2678" s="469" t="s">
        <v>3426</v>
      </c>
      <c r="J2678" s="247" t="s">
        <v>97</v>
      </c>
      <c r="K2678" s="247" t="s">
        <v>1903</v>
      </c>
      <c r="L2678" s="247" t="s">
        <v>154</v>
      </c>
      <c r="M2678" s="76"/>
      <c r="N2678" s="76"/>
    </row>
    <row r="2679" spans="1:14" ht="15.6">
      <c r="A2679" s="461">
        <v>45929</v>
      </c>
      <c r="B2679" s="469" t="s">
        <v>3409</v>
      </c>
      <c r="C2679" s="243" t="s">
        <v>195</v>
      </c>
      <c r="D2679" s="243" t="s">
        <v>116</v>
      </c>
      <c r="E2679" s="478">
        <v>1000</v>
      </c>
      <c r="F2679" s="463">
        <f t="shared" si="35"/>
        <v>1.7827155035636482</v>
      </c>
      <c r="G2679" s="464">
        <v>560.94200000000001</v>
      </c>
      <c r="H2679" s="256" t="s">
        <v>196</v>
      </c>
      <c r="I2679" s="469" t="s">
        <v>3411</v>
      </c>
      <c r="J2679" s="247" t="s">
        <v>97</v>
      </c>
      <c r="K2679" s="247" t="s">
        <v>1903</v>
      </c>
      <c r="L2679" s="247" t="s">
        <v>154</v>
      </c>
      <c r="M2679" s="76"/>
      <c r="N2679" s="76"/>
    </row>
    <row r="2680" spans="1:14" ht="15.6">
      <c r="A2680" s="461">
        <v>45929</v>
      </c>
      <c r="B2680" s="247" t="s">
        <v>3410</v>
      </c>
      <c r="C2680" s="247" t="s">
        <v>176</v>
      </c>
      <c r="D2680" s="247" t="s">
        <v>116</v>
      </c>
      <c r="E2680" s="478">
        <v>60000</v>
      </c>
      <c r="F2680" s="463">
        <f t="shared" si="35"/>
        <v>106.96293021381889</v>
      </c>
      <c r="G2680" s="464">
        <v>560.94200000000001</v>
      </c>
      <c r="H2680" s="256" t="s">
        <v>196</v>
      </c>
      <c r="I2680" s="469" t="s">
        <v>3427</v>
      </c>
      <c r="J2680" s="247" t="s">
        <v>97</v>
      </c>
      <c r="K2680" s="247" t="s">
        <v>1903</v>
      </c>
      <c r="L2680" s="247" t="s">
        <v>154</v>
      </c>
      <c r="M2680" s="76"/>
      <c r="N2680" s="76"/>
    </row>
    <row r="2681" spans="1:14" ht="15.6">
      <c r="A2681" s="476">
        <v>45929</v>
      </c>
      <c r="B2681" s="469" t="s">
        <v>3466</v>
      </c>
      <c r="C2681" s="469" t="s">
        <v>173</v>
      </c>
      <c r="D2681" s="469" t="s">
        <v>119</v>
      </c>
      <c r="E2681" s="472">
        <v>1000</v>
      </c>
      <c r="F2681" s="463">
        <f t="shared" ref="F2681:F2702" si="36">E2681/G2681</f>
        <v>1.7827155035636482</v>
      </c>
      <c r="G2681" s="464">
        <v>560.94200000000001</v>
      </c>
      <c r="H2681" s="469" t="s">
        <v>212</v>
      </c>
      <c r="I2681" s="469" t="s">
        <v>3470</v>
      </c>
      <c r="J2681" s="247" t="s">
        <v>97</v>
      </c>
      <c r="K2681" s="247" t="s">
        <v>1903</v>
      </c>
      <c r="L2681" s="247" t="s">
        <v>154</v>
      </c>
      <c r="M2681" s="76"/>
      <c r="N2681" s="76"/>
    </row>
    <row r="2682" spans="1:14" ht="15.6">
      <c r="A2682" s="476">
        <v>45929</v>
      </c>
      <c r="B2682" s="247" t="s">
        <v>3467</v>
      </c>
      <c r="C2682" s="243" t="s">
        <v>151</v>
      </c>
      <c r="D2682" s="469" t="s">
        <v>119</v>
      </c>
      <c r="E2682" s="472">
        <v>10000</v>
      </c>
      <c r="F2682" s="463">
        <f t="shared" si="36"/>
        <v>17.827155035636483</v>
      </c>
      <c r="G2682" s="464">
        <v>560.94200000000001</v>
      </c>
      <c r="H2682" s="469" t="s">
        <v>212</v>
      </c>
      <c r="I2682" s="469" t="s">
        <v>3484</v>
      </c>
      <c r="J2682" s="247" t="s">
        <v>97</v>
      </c>
      <c r="K2682" s="247" t="s">
        <v>1903</v>
      </c>
      <c r="L2682" s="247" t="s">
        <v>154</v>
      </c>
      <c r="M2682" s="76"/>
      <c r="N2682" s="76"/>
    </row>
    <row r="2683" spans="1:14" ht="15.6">
      <c r="A2683" s="476">
        <v>45929</v>
      </c>
      <c r="B2683" s="469" t="s">
        <v>3641</v>
      </c>
      <c r="C2683" s="469" t="s">
        <v>176</v>
      </c>
      <c r="D2683" s="469" t="s">
        <v>119</v>
      </c>
      <c r="E2683" s="472">
        <v>60000</v>
      </c>
      <c r="F2683" s="463">
        <f t="shared" si="36"/>
        <v>106.96293021381889</v>
      </c>
      <c r="G2683" s="464">
        <v>560.94200000000001</v>
      </c>
      <c r="H2683" s="469" t="s">
        <v>212</v>
      </c>
      <c r="I2683" s="469" t="s">
        <v>3485</v>
      </c>
      <c r="J2683" s="247" t="s">
        <v>97</v>
      </c>
      <c r="K2683" s="247" t="s">
        <v>1903</v>
      </c>
      <c r="L2683" s="247" t="s">
        <v>154</v>
      </c>
      <c r="M2683" s="76"/>
      <c r="N2683" s="76"/>
    </row>
    <row r="2684" spans="1:14" ht="15.6">
      <c r="A2684" s="476">
        <v>45929</v>
      </c>
      <c r="B2684" s="469" t="s">
        <v>3500</v>
      </c>
      <c r="C2684" s="469" t="s">
        <v>173</v>
      </c>
      <c r="D2684" s="469" t="s">
        <v>116</v>
      </c>
      <c r="E2684" s="469">
        <v>1500</v>
      </c>
      <c r="F2684" s="463">
        <f t="shared" si="36"/>
        <v>2.6740732553454722</v>
      </c>
      <c r="G2684" s="464">
        <v>560.94200000000001</v>
      </c>
      <c r="H2684" s="469" t="s">
        <v>186</v>
      </c>
      <c r="I2684" s="469" t="s">
        <v>3504</v>
      </c>
      <c r="J2684" s="247" t="s">
        <v>97</v>
      </c>
      <c r="K2684" s="247" t="s">
        <v>1903</v>
      </c>
      <c r="L2684" s="247" t="s">
        <v>154</v>
      </c>
      <c r="M2684" s="76"/>
      <c r="N2684" s="76"/>
    </row>
    <row r="2685" spans="1:14" ht="15.6">
      <c r="A2685" s="476">
        <v>45929</v>
      </c>
      <c r="B2685" s="469" t="s">
        <v>3501</v>
      </c>
      <c r="C2685" s="469" t="s">
        <v>173</v>
      </c>
      <c r="D2685" s="469" t="s">
        <v>116</v>
      </c>
      <c r="E2685" s="469">
        <v>1500</v>
      </c>
      <c r="F2685" s="463">
        <f t="shared" si="36"/>
        <v>2.6740732553454722</v>
      </c>
      <c r="G2685" s="464">
        <v>560.94200000000001</v>
      </c>
      <c r="H2685" s="469" t="s">
        <v>186</v>
      </c>
      <c r="I2685" s="469" t="s">
        <v>3504</v>
      </c>
      <c r="J2685" s="247" t="s">
        <v>97</v>
      </c>
      <c r="K2685" s="247" t="s">
        <v>1903</v>
      </c>
      <c r="L2685" s="247" t="s">
        <v>154</v>
      </c>
      <c r="M2685" s="76"/>
      <c r="N2685" s="76"/>
    </row>
    <row r="2686" spans="1:14" ht="15.6">
      <c r="A2686" s="471">
        <v>45929</v>
      </c>
      <c r="B2686" s="469" t="s">
        <v>3315</v>
      </c>
      <c r="C2686" s="469" t="s">
        <v>171</v>
      </c>
      <c r="D2686" s="469" t="s">
        <v>117</v>
      </c>
      <c r="E2686" s="468">
        <v>15625</v>
      </c>
      <c r="F2686" s="463">
        <f t="shared" si="36"/>
        <v>27.854929743182005</v>
      </c>
      <c r="G2686" s="464">
        <v>560.94200000000001</v>
      </c>
      <c r="H2686" s="247" t="s">
        <v>186</v>
      </c>
      <c r="I2686" s="247" t="s">
        <v>3513</v>
      </c>
      <c r="J2686" s="247" t="s">
        <v>97</v>
      </c>
      <c r="K2686" s="247" t="s">
        <v>1903</v>
      </c>
      <c r="L2686" s="247" t="s">
        <v>154</v>
      </c>
      <c r="M2686" s="76"/>
      <c r="N2686" s="76"/>
    </row>
    <row r="2687" spans="1:14" ht="15.6">
      <c r="A2687" s="476">
        <v>45929</v>
      </c>
      <c r="B2687" s="469" t="s">
        <v>3502</v>
      </c>
      <c r="C2687" s="469" t="s">
        <v>151</v>
      </c>
      <c r="D2687" s="469" t="s">
        <v>116</v>
      </c>
      <c r="E2687" s="469">
        <v>7500</v>
      </c>
      <c r="F2687" s="463">
        <f t="shared" si="36"/>
        <v>13.370366276727362</v>
      </c>
      <c r="G2687" s="464">
        <v>560.94200000000001</v>
      </c>
      <c r="H2687" s="469" t="s">
        <v>186</v>
      </c>
      <c r="I2687" s="469" t="s">
        <v>3514</v>
      </c>
      <c r="J2687" s="247" t="s">
        <v>97</v>
      </c>
      <c r="K2687" s="247" t="s">
        <v>1903</v>
      </c>
      <c r="L2687" s="247" t="s">
        <v>154</v>
      </c>
      <c r="M2687" s="76"/>
      <c r="N2687" s="76"/>
    </row>
    <row r="2688" spans="1:14" ht="15.6">
      <c r="A2688" s="476">
        <v>45929</v>
      </c>
      <c r="B2688" s="487" t="s">
        <v>3587</v>
      </c>
      <c r="C2688" s="247" t="s">
        <v>124</v>
      </c>
      <c r="D2688" s="486"/>
      <c r="E2688" s="468"/>
      <c r="F2688" s="463">
        <f t="shared" si="36"/>
        <v>0</v>
      </c>
      <c r="G2688" s="464">
        <f>6402038/12000</f>
        <v>533.50316666666663</v>
      </c>
      <c r="H2688" s="466" t="s">
        <v>147</v>
      </c>
      <c r="I2688" s="479" t="s">
        <v>3602</v>
      </c>
      <c r="J2688" s="247" t="s">
        <v>97</v>
      </c>
      <c r="K2688" s="247" t="s">
        <v>1903</v>
      </c>
      <c r="L2688" s="247" t="s">
        <v>154</v>
      </c>
      <c r="M2688" s="325">
        <v>266752</v>
      </c>
      <c r="N2688" s="76">
        <v>500</v>
      </c>
    </row>
    <row r="2689" spans="1:14" ht="15.6">
      <c r="A2689" s="476">
        <v>45929</v>
      </c>
      <c r="B2689" s="487" t="s">
        <v>3588</v>
      </c>
      <c r="C2689" s="247" t="s">
        <v>124</v>
      </c>
      <c r="D2689" s="489"/>
      <c r="E2689" s="468"/>
      <c r="F2689" s="463">
        <f t="shared" si="36"/>
        <v>0</v>
      </c>
      <c r="G2689" s="464">
        <f>+M2689/5500</f>
        <v>533.50309090909093</v>
      </c>
      <c r="H2689" s="466" t="s">
        <v>147</v>
      </c>
      <c r="I2689" s="479" t="s">
        <v>3603</v>
      </c>
      <c r="J2689" s="247" t="s">
        <v>97</v>
      </c>
      <c r="K2689" s="247" t="s">
        <v>2099</v>
      </c>
      <c r="L2689" s="247" t="s">
        <v>154</v>
      </c>
      <c r="M2689" s="122">
        <v>2934267</v>
      </c>
      <c r="N2689" s="76">
        <v>5500</v>
      </c>
    </row>
    <row r="2690" spans="1:14" ht="15.6">
      <c r="A2690" s="476">
        <v>45929</v>
      </c>
      <c r="B2690" s="487" t="s">
        <v>3589</v>
      </c>
      <c r="C2690" s="247" t="s">
        <v>124</v>
      </c>
      <c r="D2690" s="489"/>
      <c r="E2690" s="470"/>
      <c r="F2690" s="463">
        <f t="shared" si="36"/>
        <v>0</v>
      </c>
      <c r="G2690" s="464">
        <f>+M2690/6000</f>
        <v>533.50316666666663</v>
      </c>
      <c r="H2690" s="466" t="s">
        <v>147</v>
      </c>
      <c r="I2690" s="479" t="s">
        <v>3604</v>
      </c>
      <c r="J2690" s="247" t="s">
        <v>97</v>
      </c>
      <c r="K2690" s="247" t="s">
        <v>1133</v>
      </c>
      <c r="L2690" s="247" t="s">
        <v>154</v>
      </c>
      <c r="M2690" s="122">
        <v>3201019</v>
      </c>
      <c r="N2690" s="76">
        <v>6000</v>
      </c>
    </row>
    <row r="2691" spans="1:14" ht="15.6">
      <c r="A2691" s="467">
        <v>45930</v>
      </c>
      <c r="B2691" s="469" t="s">
        <v>2942</v>
      </c>
      <c r="C2691" s="469" t="s">
        <v>173</v>
      </c>
      <c r="D2691" s="469" t="s">
        <v>117</v>
      </c>
      <c r="E2691" s="470">
        <v>1000</v>
      </c>
      <c r="F2691" s="463">
        <f t="shared" si="36"/>
        <v>1.7827155035636482</v>
      </c>
      <c r="G2691" s="464">
        <v>560.94200000000001</v>
      </c>
      <c r="H2691" s="469" t="s">
        <v>583</v>
      </c>
      <c r="I2691" s="469" t="s">
        <v>2970</v>
      </c>
      <c r="J2691" s="247" t="s">
        <v>97</v>
      </c>
      <c r="K2691" s="247" t="s">
        <v>1903</v>
      </c>
      <c r="L2691" s="247" t="s">
        <v>154</v>
      </c>
      <c r="M2691" s="414"/>
      <c r="N2691" s="414"/>
    </row>
    <row r="2692" spans="1:14" ht="15.6">
      <c r="A2692" s="467">
        <v>45930</v>
      </c>
      <c r="B2692" s="469" t="s">
        <v>2964</v>
      </c>
      <c r="C2692" s="469" t="s">
        <v>173</v>
      </c>
      <c r="D2692" s="469" t="s">
        <v>117</v>
      </c>
      <c r="E2692" s="470">
        <v>500</v>
      </c>
      <c r="F2692" s="463">
        <f t="shared" si="36"/>
        <v>0.89135775178182408</v>
      </c>
      <c r="G2692" s="464">
        <v>560.94200000000001</v>
      </c>
      <c r="H2692" s="469" t="s">
        <v>583</v>
      </c>
      <c r="I2692" s="469" t="s">
        <v>2970</v>
      </c>
      <c r="J2692" s="247" t="s">
        <v>97</v>
      </c>
      <c r="K2692" s="247" t="s">
        <v>1903</v>
      </c>
      <c r="L2692" s="247" t="s">
        <v>154</v>
      </c>
      <c r="M2692" s="414"/>
      <c r="N2692" s="414"/>
    </row>
    <row r="2693" spans="1:14" ht="15.6">
      <c r="A2693" s="467">
        <v>45930</v>
      </c>
      <c r="B2693" s="469" t="s">
        <v>2965</v>
      </c>
      <c r="C2693" s="469" t="s">
        <v>173</v>
      </c>
      <c r="D2693" s="469" t="s">
        <v>117</v>
      </c>
      <c r="E2693" s="470">
        <v>1000</v>
      </c>
      <c r="F2693" s="463">
        <f t="shared" si="36"/>
        <v>1.7827155035636482</v>
      </c>
      <c r="G2693" s="464">
        <v>560.94200000000001</v>
      </c>
      <c r="H2693" s="469" t="s">
        <v>583</v>
      </c>
      <c r="I2693" s="469" t="s">
        <v>2970</v>
      </c>
      <c r="J2693" s="247" t="s">
        <v>97</v>
      </c>
      <c r="K2693" s="247" t="s">
        <v>1903</v>
      </c>
      <c r="L2693" s="247" t="s">
        <v>154</v>
      </c>
      <c r="M2693" s="414"/>
      <c r="N2693" s="414"/>
    </row>
    <row r="2694" spans="1:14" ht="15.6">
      <c r="A2694" s="467">
        <v>45930</v>
      </c>
      <c r="B2694" s="247" t="s">
        <v>2966</v>
      </c>
      <c r="C2694" s="247" t="s">
        <v>173</v>
      </c>
      <c r="D2694" s="247" t="s">
        <v>117</v>
      </c>
      <c r="E2694" s="468">
        <v>1000</v>
      </c>
      <c r="F2694" s="463">
        <f t="shared" si="36"/>
        <v>1.7827155035636482</v>
      </c>
      <c r="G2694" s="464">
        <v>560.94200000000001</v>
      </c>
      <c r="H2694" s="469" t="s">
        <v>583</v>
      </c>
      <c r="I2694" s="469" t="s">
        <v>2970</v>
      </c>
      <c r="J2694" s="247" t="s">
        <v>97</v>
      </c>
      <c r="K2694" s="247" t="s">
        <v>1903</v>
      </c>
      <c r="L2694" s="247" t="s">
        <v>154</v>
      </c>
      <c r="M2694" s="335"/>
      <c r="N2694" s="335"/>
    </row>
    <row r="2695" spans="1:14" ht="15.6">
      <c r="A2695" s="471">
        <v>45930</v>
      </c>
      <c r="B2695" s="247" t="s">
        <v>2967</v>
      </c>
      <c r="C2695" s="469" t="s">
        <v>181</v>
      </c>
      <c r="D2695" s="469" t="s">
        <v>117</v>
      </c>
      <c r="E2695" s="468">
        <v>122074</v>
      </c>
      <c r="F2695" s="463">
        <f t="shared" si="36"/>
        <v>217.62321238202881</v>
      </c>
      <c r="G2695" s="464">
        <v>560.94200000000001</v>
      </c>
      <c r="H2695" s="247" t="s">
        <v>583</v>
      </c>
      <c r="I2695" s="247" t="s">
        <v>2985</v>
      </c>
      <c r="J2695" s="247" t="s">
        <v>97</v>
      </c>
      <c r="K2695" s="247" t="s">
        <v>1903</v>
      </c>
      <c r="L2695" s="247" t="s">
        <v>154</v>
      </c>
      <c r="M2695" s="414"/>
      <c r="N2695" s="414"/>
    </row>
    <row r="2696" spans="1:14" ht="15.6">
      <c r="A2696" s="471">
        <v>45930</v>
      </c>
      <c r="B2696" s="247" t="s">
        <v>2968</v>
      </c>
      <c r="C2696" s="488" t="s">
        <v>626</v>
      </c>
      <c r="D2696" s="469" t="s">
        <v>117</v>
      </c>
      <c r="E2696" s="468">
        <v>45050</v>
      </c>
      <c r="F2696" s="463">
        <f t="shared" si="36"/>
        <v>80.311333435542352</v>
      </c>
      <c r="G2696" s="464">
        <v>560.94200000000001</v>
      </c>
      <c r="H2696" s="247" t="s">
        <v>583</v>
      </c>
      <c r="I2696" s="247" t="s">
        <v>2986</v>
      </c>
      <c r="J2696" s="247" t="s">
        <v>97</v>
      </c>
      <c r="K2696" s="247" t="s">
        <v>1903</v>
      </c>
      <c r="L2696" s="247" t="s">
        <v>154</v>
      </c>
      <c r="M2696" s="414"/>
      <c r="N2696" s="414"/>
    </row>
    <row r="2697" spans="1:14" ht="15.6">
      <c r="A2697" s="467">
        <v>45930</v>
      </c>
      <c r="B2697" s="469" t="s">
        <v>2969</v>
      </c>
      <c r="C2697" s="485" t="s">
        <v>173</v>
      </c>
      <c r="D2697" s="485" t="s">
        <v>117</v>
      </c>
      <c r="E2697" s="470">
        <v>1000</v>
      </c>
      <c r="F2697" s="463">
        <f t="shared" si="36"/>
        <v>1.7827155035636482</v>
      </c>
      <c r="G2697" s="464">
        <v>560.94200000000001</v>
      </c>
      <c r="H2697" s="469" t="s">
        <v>583</v>
      </c>
      <c r="I2697" s="469" t="s">
        <v>2970</v>
      </c>
      <c r="J2697" s="247" t="s">
        <v>97</v>
      </c>
      <c r="K2697" s="247" t="s">
        <v>1903</v>
      </c>
      <c r="L2697" s="247" t="s">
        <v>154</v>
      </c>
      <c r="M2697" s="414"/>
      <c r="N2697" s="414"/>
    </row>
    <row r="2698" spans="1:14" ht="15.6">
      <c r="A2698" s="474">
        <v>45930</v>
      </c>
      <c r="B2698" s="475" t="s">
        <v>3770</v>
      </c>
      <c r="C2698" s="490" t="s">
        <v>176</v>
      </c>
      <c r="D2698" s="179" t="s">
        <v>442</v>
      </c>
      <c r="E2698" s="475">
        <v>390000</v>
      </c>
      <c r="F2698" s="463">
        <f t="shared" si="36"/>
        <v>695.25904638982286</v>
      </c>
      <c r="G2698" s="464">
        <v>560.94200000000001</v>
      </c>
      <c r="H2698" s="475" t="s">
        <v>183</v>
      </c>
      <c r="I2698" s="475" t="s">
        <v>3108</v>
      </c>
      <c r="J2698" s="247" t="s">
        <v>97</v>
      </c>
      <c r="K2698" s="247" t="s">
        <v>1903</v>
      </c>
      <c r="L2698" s="247" t="s">
        <v>154</v>
      </c>
      <c r="M2698" s="335"/>
      <c r="N2698" s="335"/>
    </row>
    <row r="2699" spans="1:14" ht="15.6">
      <c r="A2699" s="474">
        <v>45930</v>
      </c>
      <c r="B2699" s="475" t="s">
        <v>3863</v>
      </c>
      <c r="C2699" s="490" t="s">
        <v>173</v>
      </c>
      <c r="D2699" s="179" t="s">
        <v>442</v>
      </c>
      <c r="E2699" s="475">
        <v>1000</v>
      </c>
      <c r="F2699" s="463">
        <f t="shared" si="36"/>
        <v>1.7827155035636482</v>
      </c>
      <c r="G2699" s="464">
        <v>560.94200000000001</v>
      </c>
      <c r="H2699" s="475" t="s">
        <v>183</v>
      </c>
      <c r="I2699" s="475" t="s">
        <v>3086</v>
      </c>
      <c r="J2699" s="247" t="s">
        <v>97</v>
      </c>
      <c r="K2699" s="247" t="s">
        <v>1903</v>
      </c>
      <c r="L2699" s="247" t="s">
        <v>154</v>
      </c>
      <c r="M2699" s="335"/>
      <c r="N2699" s="335"/>
    </row>
    <row r="2700" spans="1:14" ht="15.6">
      <c r="A2700" s="474">
        <v>45930</v>
      </c>
      <c r="B2700" s="475" t="s">
        <v>3828</v>
      </c>
      <c r="C2700" s="490" t="s">
        <v>173</v>
      </c>
      <c r="D2700" s="179" t="s">
        <v>442</v>
      </c>
      <c r="E2700" s="475">
        <v>1000</v>
      </c>
      <c r="F2700" s="463">
        <f t="shared" si="36"/>
        <v>1.7827155035636482</v>
      </c>
      <c r="G2700" s="464">
        <v>560.94200000000001</v>
      </c>
      <c r="H2700" s="475" t="s">
        <v>183</v>
      </c>
      <c r="I2700" s="475" t="s">
        <v>3086</v>
      </c>
      <c r="J2700" s="247" t="s">
        <v>97</v>
      </c>
      <c r="K2700" s="247" t="s">
        <v>1903</v>
      </c>
      <c r="L2700" s="247" t="s">
        <v>154</v>
      </c>
      <c r="M2700" s="335"/>
      <c r="N2700" s="335"/>
    </row>
    <row r="2701" spans="1:14" ht="15.6">
      <c r="A2701" s="476">
        <v>45930</v>
      </c>
      <c r="B2701" s="469" t="s">
        <v>3975</v>
      </c>
      <c r="C2701" s="485" t="s">
        <v>173</v>
      </c>
      <c r="D2701" s="179" t="s">
        <v>442</v>
      </c>
      <c r="E2701" s="485">
        <v>1000</v>
      </c>
      <c r="F2701" s="463">
        <f t="shared" si="36"/>
        <v>1.7827155035636482</v>
      </c>
      <c r="G2701" s="464">
        <v>560.94200000000001</v>
      </c>
      <c r="H2701" s="469" t="s">
        <v>174</v>
      </c>
      <c r="I2701" s="469" t="s">
        <v>3196</v>
      </c>
      <c r="J2701" s="247" t="s">
        <v>97</v>
      </c>
      <c r="K2701" s="247" t="s">
        <v>1903</v>
      </c>
      <c r="L2701" s="247" t="s">
        <v>154</v>
      </c>
      <c r="M2701" s="414"/>
      <c r="N2701" s="414"/>
    </row>
    <row r="2702" spans="1:14" ht="15.6">
      <c r="A2702" s="476">
        <v>45930</v>
      </c>
      <c r="B2702" s="469" t="s">
        <v>3975</v>
      </c>
      <c r="C2702" s="485" t="s">
        <v>173</v>
      </c>
      <c r="D2702" s="179" t="s">
        <v>442</v>
      </c>
      <c r="E2702" s="469">
        <v>1000</v>
      </c>
      <c r="F2702" s="463">
        <f t="shared" si="36"/>
        <v>1.7827155035636482</v>
      </c>
      <c r="G2702" s="464">
        <v>560.94200000000001</v>
      </c>
      <c r="H2702" s="469" t="s">
        <v>174</v>
      </c>
      <c r="I2702" s="469" t="s">
        <v>3196</v>
      </c>
      <c r="J2702" s="247" t="s">
        <v>97</v>
      </c>
      <c r="K2702" s="247" t="s">
        <v>1903</v>
      </c>
      <c r="L2702" s="247" t="s">
        <v>154</v>
      </c>
      <c r="M2702" s="414"/>
      <c r="N2702" s="414"/>
    </row>
  </sheetData>
  <autoFilter ref="A1:O2702">
    <filterColumn colId="0">
      <filters>
        <dateGroupItem year="2025" month="9" dateTimeGrouping="month"/>
      </filters>
    </filterColumn>
    <sortState ref="A2022:O2680">
      <sortCondition ref="A1:A2702"/>
    </sortState>
  </autoFilter>
  <dataValidations count="1">
    <dataValidation type="list" allowBlank="1" showInputMessage="1" showErrorMessage="1" sqref="C44:C46 C177:C178 C59:C60 C55 C175 C326 C232 C948 C1003:C1006 C965:C967 C953 C995:C999 C835:C837 C945:C946 C829:C832 C933:C940 C825 C827 C943 C957:C958 C1001 C1008:C1010 C960 C962 C1142:C1143 C1150:C1151 C1334:C1336 C1305 C1302 C1292 C1971 C1955:C1969 C2666:C2693"/>
  </dataValidations>
  <pageMargins left="0.7" right="0.7" top="0.78740157499999996" bottom="0.78740157499999996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4"/>
  <dimension ref="A1:O66"/>
  <sheetViews>
    <sheetView zoomScale="72" zoomScaleNormal="72" workbookViewId="0">
      <pane ySplit="1" topLeftCell="A38" activePane="bottomLeft" state="frozen"/>
      <selection pane="bottomLeft" activeCell="J27" sqref="J27"/>
    </sheetView>
  </sheetViews>
  <sheetFormatPr baseColWidth="10" defaultColWidth="8.69921875" defaultRowHeight="13.8"/>
  <cols>
    <col min="1" max="8" width="13.3984375" customWidth="1"/>
    <col min="9" max="9" width="16" customWidth="1"/>
    <col min="10" max="10" width="19.09765625" style="163" customWidth="1"/>
    <col min="11" max="11" width="21.3984375" customWidth="1"/>
    <col min="12" max="12" width="23" customWidth="1"/>
    <col min="13" max="13" width="19.69921875" customWidth="1"/>
    <col min="14" max="14" width="25.09765625" customWidth="1"/>
    <col min="15" max="15" width="20.69921875" customWidth="1"/>
  </cols>
  <sheetData>
    <row r="1" spans="1:15" ht="39.6">
      <c r="A1" s="100" t="s">
        <v>438</v>
      </c>
      <c r="B1" s="101" t="s">
        <v>74</v>
      </c>
      <c r="C1" s="101" t="s">
        <v>75</v>
      </c>
      <c r="D1" s="101" t="s">
        <v>76</v>
      </c>
      <c r="E1" s="101" t="s">
        <v>77</v>
      </c>
      <c r="F1" s="101" t="s">
        <v>78</v>
      </c>
      <c r="G1" s="101" t="s">
        <v>79</v>
      </c>
      <c r="H1" s="101" t="s">
        <v>80</v>
      </c>
      <c r="I1" s="101" t="s">
        <v>72</v>
      </c>
      <c r="J1" s="162" t="s">
        <v>73</v>
      </c>
    </row>
    <row r="2" spans="1:15">
      <c r="A2" s="102" t="s">
        <v>2098</v>
      </c>
      <c r="B2" s="103"/>
      <c r="C2" s="104"/>
      <c r="D2" s="104">
        <f>SUM(D3:D8)</f>
        <v>5377542</v>
      </c>
      <c r="E2" s="104">
        <f>SUM(E3:E8)</f>
        <v>10000</v>
      </c>
      <c r="F2" s="104">
        <f>SUM(F3:F8)</f>
        <v>4084833</v>
      </c>
      <c r="G2" s="104">
        <f>SUM(G3:G8)</f>
        <v>7596.0968784623183</v>
      </c>
      <c r="H2" s="104">
        <f>B2+D2-F2</f>
        <v>1292709</v>
      </c>
      <c r="I2" s="104">
        <f>C2+E2-G2</f>
        <v>2403.9031215376817</v>
      </c>
      <c r="K2" s="170" t="s">
        <v>462</v>
      </c>
      <c r="L2" t="s">
        <v>464</v>
      </c>
      <c r="M2" t="s">
        <v>469</v>
      </c>
      <c r="N2" t="s">
        <v>2079</v>
      </c>
      <c r="O2" t="s">
        <v>2080</v>
      </c>
    </row>
    <row r="3" spans="1:15">
      <c r="A3" s="105" t="s">
        <v>87</v>
      </c>
      <c r="B3" s="109"/>
      <c r="C3" s="112"/>
      <c r="D3" s="112">
        <f>GETPIVOTDATA("Somme de Receved in XAF",$K$2,"Donor","ELONGA","Mois",7)</f>
        <v>5377542</v>
      </c>
      <c r="E3" s="215">
        <f>GETPIVOTDATA("Somme de Receved  $",$K$2,"Donor","ELONGA","Mois",7)</f>
        <v>10000</v>
      </c>
      <c r="F3" s="214">
        <f>GETPIVOTDATA("Somme de Spent  in XAF",$K$2,"Donor","ELONGA","Mois",7)</f>
        <v>4084833</v>
      </c>
      <c r="G3" s="215">
        <f>GETPIVOTDATA("Somme de Spent in $",$K$2,"Donor","ELONGA","Mois",7)</f>
        <v>7596.0968784623183</v>
      </c>
      <c r="H3" s="112">
        <f>B2+D3-F3</f>
        <v>1292709</v>
      </c>
      <c r="I3" s="112">
        <f>C2+E3-G3</f>
        <v>2403.9031215376817</v>
      </c>
      <c r="J3" s="169"/>
      <c r="K3" s="147" t="s">
        <v>2099</v>
      </c>
      <c r="L3" s="319">
        <v>297000</v>
      </c>
      <c r="M3" s="319">
        <v>556.69790048040954</v>
      </c>
      <c r="N3" s="319">
        <v>5598777</v>
      </c>
      <c r="O3" s="319">
        <v>10500</v>
      </c>
    </row>
    <row r="4" spans="1:15">
      <c r="A4" s="105" t="s">
        <v>88</v>
      </c>
      <c r="B4" s="109"/>
      <c r="C4" s="112"/>
      <c r="D4" s="112"/>
      <c r="E4" s="215"/>
      <c r="F4" s="214"/>
      <c r="G4" s="215"/>
      <c r="H4" s="112">
        <f>H3+D4-F4</f>
        <v>1292709</v>
      </c>
      <c r="I4" s="112">
        <f>I3+E4-G4</f>
        <v>2403.9031215376817</v>
      </c>
      <c r="K4" s="171" t="s">
        <v>2802</v>
      </c>
      <c r="L4" s="319"/>
      <c r="M4" s="319">
        <v>0</v>
      </c>
      <c r="N4" s="319">
        <v>2664510</v>
      </c>
      <c r="O4" s="319">
        <v>5000</v>
      </c>
    </row>
    <row r="5" spans="1:15">
      <c r="A5" s="108" t="s">
        <v>89</v>
      </c>
      <c r="B5" s="106"/>
      <c r="C5" s="106"/>
      <c r="D5" s="106"/>
      <c r="E5" s="106"/>
      <c r="F5" s="107"/>
      <c r="G5" s="106"/>
      <c r="H5" s="112">
        <f t="shared" ref="H5:I8" si="0">H4+D5-F5</f>
        <v>1292709</v>
      </c>
      <c r="I5" s="112">
        <f t="shared" si="0"/>
        <v>2403.9031215376817</v>
      </c>
      <c r="K5" s="171" t="s">
        <v>3607</v>
      </c>
      <c r="L5" s="319">
        <v>297000</v>
      </c>
      <c r="M5" s="319">
        <v>556.69790048040954</v>
      </c>
      <c r="N5" s="319">
        <v>2934267</v>
      </c>
      <c r="O5" s="319">
        <v>5500</v>
      </c>
    </row>
    <row r="6" spans="1:15">
      <c r="A6" s="105" t="s">
        <v>90</v>
      </c>
      <c r="B6" s="106"/>
      <c r="C6" s="106"/>
      <c r="D6" s="106"/>
      <c r="E6" s="106"/>
      <c r="F6" s="107"/>
      <c r="G6" s="106"/>
      <c r="H6" s="112">
        <f t="shared" si="0"/>
        <v>1292709</v>
      </c>
      <c r="I6" s="112">
        <f t="shared" si="0"/>
        <v>2403.9031215376817</v>
      </c>
      <c r="K6" s="147" t="s">
        <v>2311</v>
      </c>
      <c r="L6" s="319">
        <v>4084833</v>
      </c>
      <c r="M6" s="319">
        <v>7596.0968784623183</v>
      </c>
      <c r="N6" s="319">
        <v>5377542</v>
      </c>
      <c r="O6" s="319">
        <v>10000</v>
      </c>
    </row>
    <row r="7" spans="1:15">
      <c r="A7" s="105" t="s">
        <v>91</v>
      </c>
      <c r="B7" s="106"/>
      <c r="C7" s="106"/>
      <c r="D7" s="106"/>
      <c r="E7" s="106"/>
      <c r="F7" s="107"/>
      <c r="G7" s="106"/>
      <c r="H7" s="112">
        <f t="shared" si="0"/>
        <v>1292709</v>
      </c>
      <c r="I7" s="112">
        <f t="shared" si="0"/>
        <v>2403.9031215376817</v>
      </c>
      <c r="K7" s="171" t="s">
        <v>2318</v>
      </c>
      <c r="L7" s="319">
        <v>4084833</v>
      </c>
      <c r="M7" s="319">
        <v>7596.0968784623183</v>
      </c>
      <c r="N7" s="319">
        <v>5377542</v>
      </c>
      <c r="O7" s="319">
        <v>10000</v>
      </c>
    </row>
    <row r="8" spans="1:15">
      <c r="A8" s="105" t="s">
        <v>92</v>
      </c>
      <c r="B8" s="106"/>
      <c r="C8" s="106"/>
      <c r="D8" s="106"/>
      <c r="E8" s="106"/>
      <c r="F8" s="107"/>
      <c r="G8" s="106"/>
      <c r="H8" s="112">
        <f t="shared" si="0"/>
        <v>1292709</v>
      </c>
      <c r="I8" s="112">
        <f t="shared" si="0"/>
        <v>2403.9031215376817</v>
      </c>
      <c r="K8" s="147" t="s">
        <v>201</v>
      </c>
      <c r="L8" s="319">
        <v>38956819</v>
      </c>
      <c r="M8" s="319">
        <v>67675.982714933547</v>
      </c>
      <c r="N8" s="319">
        <v>17389380</v>
      </c>
      <c r="O8" s="319">
        <v>30000</v>
      </c>
    </row>
    <row r="9" spans="1:15">
      <c r="A9" s="130" t="s">
        <v>2099</v>
      </c>
      <c r="B9" s="103"/>
      <c r="C9" s="104"/>
      <c r="D9" s="104">
        <f>SUM(D10:D15)</f>
        <v>5598777</v>
      </c>
      <c r="E9" s="104">
        <f>SUM(E10:E15)</f>
        <v>10500</v>
      </c>
      <c r="F9" s="104">
        <f>SUM(F10:F15)</f>
        <v>297000</v>
      </c>
      <c r="G9" s="104">
        <f>SUM(G10:G15)</f>
        <v>556.69790048040954</v>
      </c>
      <c r="H9" s="104">
        <f>B9+D9-F9</f>
        <v>5301777</v>
      </c>
      <c r="I9" s="104">
        <f>C9+E9-G9</f>
        <v>9943.3020995195911</v>
      </c>
      <c r="K9" s="171" t="s">
        <v>2312</v>
      </c>
      <c r="L9" s="319">
        <v>4559707</v>
      </c>
      <c r="M9" s="319">
        <v>7722.280285933226</v>
      </c>
      <c r="N9" s="319"/>
      <c r="O9" s="319"/>
    </row>
    <row r="10" spans="1:15">
      <c r="A10" s="105" t="s">
        <v>87</v>
      </c>
      <c r="B10" s="106"/>
      <c r="C10" s="106"/>
      <c r="D10" s="106"/>
      <c r="E10" s="106"/>
      <c r="F10" s="107"/>
      <c r="G10" s="106"/>
      <c r="H10" s="112">
        <f>B9+D10-F10</f>
        <v>0</v>
      </c>
      <c r="I10" s="112">
        <f>C9+E10-G10</f>
        <v>0</v>
      </c>
      <c r="K10" s="171" t="s">
        <v>2313</v>
      </c>
      <c r="L10" s="319">
        <v>17852548</v>
      </c>
      <c r="M10" s="319">
        <v>30806.433646228274</v>
      </c>
      <c r="N10" s="319">
        <v>17389380</v>
      </c>
      <c r="O10" s="319">
        <v>30000</v>
      </c>
    </row>
    <row r="11" spans="1:15">
      <c r="A11" s="105" t="s">
        <v>88</v>
      </c>
      <c r="B11" s="106"/>
      <c r="C11" s="106"/>
      <c r="D11" s="106">
        <f>GETPIVOTDATA("Somme de Receved in XAF",$K$2,"Donor","Dahan","Mois",8)</f>
        <v>2664510</v>
      </c>
      <c r="E11" s="106">
        <f>GETPIVOTDATA("Somme de Receved  $",$K$2,"Donor","Dahan","Mois",8)</f>
        <v>5000</v>
      </c>
      <c r="F11" s="107"/>
      <c r="G11" s="106"/>
      <c r="H11" s="112">
        <f t="shared" ref="H11:I15" si="1">H10+D11-F11</f>
        <v>2664510</v>
      </c>
      <c r="I11" s="112">
        <f t="shared" si="1"/>
        <v>5000</v>
      </c>
      <c r="K11" s="171" t="s">
        <v>2314</v>
      </c>
      <c r="L11" s="319">
        <v>1171000</v>
      </c>
      <c r="M11" s="319">
        <v>2013.9213225330598</v>
      </c>
      <c r="N11" s="319"/>
      <c r="O11" s="319"/>
    </row>
    <row r="12" spans="1:15">
      <c r="A12" s="108" t="s">
        <v>89</v>
      </c>
      <c r="B12" s="106"/>
      <c r="C12" s="106"/>
      <c r="D12" s="106">
        <f>GETPIVOTDATA("Somme de Receved in XAF",$K$2,"Donor","Dahan","Mois",9)</f>
        <v>2934267</v>
      </c>
      <c r="E12" s="106">
        <f>GETPIVOTDATA("Somme de Receved  $",$K$2,"Donor","Dahan","Mois",9)</f>
        <v>5500</v>
      </c>
      <c r="F12" s="107">
        <f>+GETPIVOTDATA("Somme de Spent  in XAF",$K$2,"Donor","Dahan","Mois",9)</f>
        <v>297000</v>
      </c>
      <c r="G12" s="106">
        <f>+GETPIVOTDATA("Somme de Spent in $",$K$2,"Donor","Dahan","Mois",9)</f>
        <v>556.69790048040954</v>
      </c>
      <c r="H12" s="112">
        <f t="shared" si="1"/>
        <v>5301777</v>
      </c>
      <c r="I12" s="112">
        <f t="shared" si="1"/>
        <v>9943.3020995195911</v>
      </c>
      <c r="J12" s="169">
        <f>+D12/E12</f>
        <v>533.50309090909093</v>
      </c>
      <c r="K12" s="171" t="s">
        <v>2315</v>
      </c>
      <c r="L12" s="319">
        <v>8553739</v>
      </c>
      <c r="M12" s="319">
        <v>14975.550104617092</v>
      </c>
      <c r="N12" s="319"/>
      <c r="O12" s="319"/>
    </row>
    <row r="13" spans="1:15">
      <c r="A13" s="105" t="s">
        <v>90</v>
      </c>
      <c r="B13" s="106"/>
      <c r="C13" s="106"/>
      <c r="D13" s="106"/>
      <c r="E13" s="106"/>
      <c r="F13" s="107"/>
      <c r="G13" s="106"/>
      <c r="H13" s="112">
        <f t="shared" si="1"/>
        <v>5301777</v>
      </c>
      <c r="I13" s="112">
        <f t="shared" si="1"/>
        <v>9943.3020995195911</v>
      </c>
      <c r="K13" s="171" t="s">
        <v>2316</v>
      </c>
      <c r="L13" s="319">
        <v>6819825</v>
      </c>
      <c r="M13" s="319">
        <v>12157.797355621908</v>
      </c>
      <c r="N13" s="319"/>
      <c r="O13" s="319"/>
    </row>
    <row r="14" spans="1:15">
      <c r="A14" s="105" t="s">
        <v>91</v>
      </c>
      <c r="B14" s="106"/>
      <c r="C14" s="106"/>
      <c r="D14" s="106"/>
      <c r="E14" s="106"/>
      <c r="F14" s="107"/>
      <c r="G14" s="106"/>
      <c r="H14" s="112">
        <f t="shared" si="1"/>
        <v>5301777</v>
      </c>
      <c r="I14" s="112">
        <f t="shared" si="1"/>
        <v>9943.3020995195911</v>
      </c>
      <c r="K14" s="147" t="s">
        <v>1133</v>
      </c>
      <c r="L14" s="319">
        <v>11416819</v>
      </c>
      <c r="M14" s="319">
        <v>20951.54420379478</v>
      </c>
      <c r="N14" s="319">
        <v>11441630</v>
      </c>
      <c r="O14" s="319">
        <v>21000</v>
      </c>
    </row>
    <row r="15" spans="1:15">
      <c r="A15" s="105" t="s">
        <v>92</v>
      </c>
      <c r="B15" s="106"/>
      <c r="C15" s="106"/>
      <c r="D15" s="106"/>
      <c r="E15" s="106"/>
      <c r="F15" s="107"/>
      <c r="G15" s="106"/>
      <c r="H15" s="112">
        <f t="shared" si="1"/>
        <v>5301777</v>
      </c>
      <c r="I15" s="112">
        <f t="shared" si="1"/>
        <v>9943.3020995195911</v>
      </c>
      <c r="J15" s="169">
        <f>844005/1375</f>
        <v>613.82181818181823</v>
      </c>
      <c r="K15" s="171" t="s">
        <v>2313</v>
      </c>
      <c r="L15" s="319">
        <v>2392885</v>
      </c>
      <c r="M15" s="319">
        <v>4128.1834084941502</v>
      </c>
      <c r="N15" s="319">
        <v>2898230</v>
      </c>
      <c r="O15" s="319">
        <v>5000</v>
      </c>
    </row>
    <row r="16" spans="1:15">
      <c r="A16" s="102" t="s">
        <v>1507</v>
      </c>
      <c r="B16" s="103">
        <f>C16*J28</f>
        <v>0</v>
      </c>
      <c r="C16" s="104">
        <v>0</v>
      </c>
      <c r="D16" s="104">
        <f>SUM(D17:D28)</f>
        <v>46165924</v>
      </c>
      <c r="E16" s="104">
        <f>SUM(E17:E28)</f>
        <v>82500</v>
      </c>
      <c r="F16" s="104">
        <f>SUM(F17:F28)</f>
        <v>34934761</v>
      </c>
      <c r="G16" s="104">
        <f>SUM(G17:G28)</f>
        <v>61428.382035856906</v>
      </c>
      <c r="H16" s="104">
        <f>B16+D16-F16</f>
        <v>11231163</v>
      </c>
      <c r="I16" s="104">
        <f>C16+E16-G16</f>
        <v>21071.617964143094</v>
      </c>
      <c r="K16" s="171" t="s">
        <v>2314</v>
      </c>
      <c r="L16" s="319">
        <v>506000</v>
      </c>
      <c r="M16" s="319">
        <v>872.94659154035401</v>
      </c>
      <c r="N16" s="319"/>
      <c r="O16" s="319"/>
    </row>
    <row r="17" spans="1:15">
      <c r="A17" s="113" t="s">
        <v>81</v>
      </c>
      <c r="B17" s="109"/>
      <c r="C17" s="110"/>
      <c r="D17" s="110"/>
      <c r="E17" s="109"/>
      <c r="F17" s="111"/>
      <c r="G17" s="109"/>
      <c r="H17" s="112">
        <f>B16+D17-F17</f>
        <v>0</v>
      </c>
      <c r="I17" s="112">
        <f>C16+E17-G17</f>
        <v>0</v>
      </c>
      <c r="K17" s="171" t="s">
        <v>2318</v>
      </c>
      <c r="L17" s="319">
        <v>5334511</v>
      </c>
      <c r="M17" s="319">
        <v>9985.2687406607474</v>
      </c>
      <c r="N17" s="319">
        <v>5342381</v>
      </c>
      <c r="O17" s="319">
        <v>10000</v>
      </c>
    </row>
    <row r="18" spans="1:15">
      <c r="A18" s="113" t="s">
        <v>82</v>
      </c>
      <c r="B18" s="109"/>
      <c r="C18" s="110"/>
      <c r="D18" s="110"/>
      <c r="E18" s="109"/>
      <c r="F18" s="111"/>
      <c r="G18" s="109"/>
      <c r="H18" s="112">
        <f>H17+D18-F18</f>
        <v>0</v>
      </c>
      <c r="I18" s="112">
        <f>I17+E18-G18</f>
        <v>0</v>
      </c>
      <c r="K18" s="171" t="s">
        <v>3607</v>
      </c>
      <c r="L18" s="319">
        <v>3183423</v>
      </c>
      <c r="M18" s="319">
        <v>5965.1454630995295</v>
      </c>
      <c r="N18" s="319">
        <v>3201019</v>
      </c>
      <c r="O18" s="319">
        <v>6000</v>
      </c>
    </row>
    <row r="19" spans="1:15">
      <c r="A19" s="114" t="s">
        <v>83</v>
      </c>
      <c r="B19" s="106"/>
      <c r="C19" s="106"/>
      <c r="D19" s="106"/>
      <c r="E19" s="106"/>
      <c r="F19" s="107"/>
      <c r="G19" s="106"/>
      <c r="H19" s="112">
        <f t="shared" ref="H19:I28" si="2">H18+D19-F19</f>
        <v>0</v>
      </c>
      <c r="I19" s="112">
        <f t="shared" si="2"/>
        <v>0</v>
      </c>
      <c r="K19" s="147" t="s">
        <v>439</v>
      </c>
      <c r="L19" s="319">
        <v>3055340</v>
      </c>
      <c r="M19" s="319">
        <v>4977.5684082904827</v>
      </c>
      <c r="N19" s="319"/>
      <c r="O19" s="319"/>
    </row>
    <row r="20" spans="1:15">
      <c r="A20" s="113" t="s">
        <v>84</v>
      </c>
      <c r="B20" s="106"/>
      <c r="C20" s="106"/>
      <c r="D20" s="106">
        <f>GETPIVOTDATA("Somme de Receved in XAF",$K$2,"Donor","Wildcat 2025","Mois",4)</f>
        <v>17487258</v>
      </c>
      <c r="E20" s="106">
        <f>GETPIVOTDATA("Somme de Receved  $",$K$2,"Donor","Wildcat 2025","Mois",4)</f>
        <v>30000</v>
      </c>
      <c r="F20" s="107">
        <f>GETPIVOTDATA("Somme de Spent  in XAF",$K$2,"Donor","Wildcat 2025","Mois",4)</f>
        <v>12009908</v>
      </c>
      <c r="G20" s="106">
        <f>GETPIVOTDATA("Somme de Spent in $",$K$2,"Donor","Wildcat 2025","Mois",4)</f>
        <v>20603.401216999559</v>
      </c>
      <c r="H20" s="112">
        <f t="shared" si="2"/>
        <v>5477350</v>
      </c>
      <c r="I20" s="112">
        <f t="shared" si="2"/>
        <v>9396.5987830004415</v>
      </c>
      <c r="K20" s="171" t="s">
        <v>2312</v>
      </c>
      <c r="L20" s="319">
        <v>3055340</v>
      </c>
      <c r="M20" s="319">
        <v>4977.5684082904827</v>
      </c>
      <c r="N20" s="319"/>
      <c r="O20" s="319"/>
    </row>
    <row r="21" spans="1:15">
      <c r="A21" s="114" t="s">
        <v>85</v>
      </c>
      <c r="B21" s="106"/>
      <c r="C21" s="106"/>
      <c r="D21" s="106">
        <f>GETPIVOTDATA("Somme de Receved in XAF",$K$2,"Donor","Wildcat 2025","Mois",5)</f>
        <v>14023562</v>
      </c>
      <c r="E21" s="106">
        <f>GETPIVOTDATA("Somme de Receved  $",$K$2,"Donor","Wildcat 2025","Mois",5)</f>
        <v>25000</v>
      </c>
      <c r="F21" s="107">
        <f>GETPIVOTDATA("Somme de Spent  in XAF",$K$2,"Donor","Wildcat 2025","Mois",5)</f>
        <v>3911880</v>
      </c>
      <c r="G21" s="106">
        <f>GETPIVOTDATA("Somme de Spent in $",$K$2,"Donor","Wildcat 2025","Mois",5)</f>
        <v>6936.5039158833861</v>
      </c>
      <c r="H21" s="112">
        <f t="shared" si="2"/>
        <v>15589032</v>
      </c>
      <c r="I21" s="112">
        <f t="shared" si="2"/>
        <v>27460.094867117059</v>
      </c>
      <c r="K21" s="147" t="s">
        <v>1132</v>
      </c>
      <c r="L21" s="319">
        <v>2107400</v>
      </c>
      <c r="M21" s="319">
        <v>3635.6672865852611</v>
      </c>
      <c r="N21" s="319"/>
      <c r="O21" s="319"/>
    </row>
    <row r="22" spans="1:15">
      <c r="A22" s="105" t="s">
        <v>86</v>
      </c>
      <c r="B22" s="106"/>
      <c r="C22" s="106"/>
      <c r="D22" s="106"/>
      <c r="E22" s="106"/>
      <c r="F22" s="107">
        <f>GETPIVOTDATA("Somme de Spent  in XAF",$K$2,"Donor","Wildcat 2025","Mois",6)</f>
        <v>1782188</v>
      </c>
      <c r="G22" s="106">
        <f>GETPIVOTDATA("Somme de Spent in $",$K$2,"Donor","Wildcat 2025","Mois",6)</f>
        <v>3177.1314591827681</v>
      </c>
      <c r="H22" s="112">
        <f t="shared" si="2"/>
        <v>13806844</v>
      </c>
      <c r="I22" s="112">
        <f t="shared" si="2"/>
        <v>24282.96340793429</v>
      </c>
      <c r="K22" s="171" t="s">
        <v>2313</v>
      </c>
      <c r="L22" s="319">
        <v>2107400</v>
      </c>
      <c r="M22" s="319">
        <v>3635.6672865852611</v>
      </c>
      <c r="N22" s="319"/>
      <c r="O22" s="319"/>
    </row>
    <row r="23" spans="1:15">
      <c r="A23" s="105" t="s">
        <v>87</v>
      </c>
      <c r="B23" s="106"/>
      <c r="C23" s="106"/>
      <c r="D23" s="106"/>
      <c r="E23" s="106"/>
      <c r="F23" s="107">
        <f>GETPIVOTDATA("Somme de Spent  in XAF",$K$2,"Donor","Wildcat 2025","Mois",7)</f>
        <v>1710955</v>
      </c>
      <c r="G23" s="106">
        <f>GETPIVOTDATA("Somme de Spent in $",$K$2,"Donor","Wildcat 2025","Mois",7)</f>
        <v>3050.1433943815391</v>
      </c>
      <c r="H23" s="112">
        <f t="shared" si="2"/>
        <v>12095889</v>
      </c>
      <c r="I23" s="112">
        <f t="shared" si="2"/>
        <v>21232.820013552751</v>
      </c>
      <c r="K23" s="147" t="s">
        <v>1902</v>
      </c>
      <c r="L23" s="319">
        <v>13654604</v>
      </c>
      <c r="M23" s="319">
        <v>23208.427443302349</v>
      </c>
      <c r="N23" s="319">
        <v>17885797</v>
      </c>
      <c r="O23" s="319">
        <v>30000</v>
      </c>
    </row>
    <row r="24" spans="1:15">
      <c r="A24" s="105" t="s">
        <v>88</v>
      </c>
      <c r="B24" s="106"/>
      <c r="C24" s="106"/>
      <c r="D24" s="106">
        <f>GETPIVOTDATA("Somme de Receved in XAF",$K$2,"Donor","Wildcat 2025","Mois",8)</f>
        <v>14388352</v>
      </c>
      <c r="E24" s="106">
        <f>GETPIVOTDATA("Somme de Receved  $",$K$2,"Donor","Wildcat 2025","Mois",8)</f>
        <v>27000</v>
      </c>
      <c r="F24" s="107">
        <f>GETPIVOTDATA("Somme de Spent  in XAF",$K$2,"Donor","Wildcat 2025","Mois",8)</f>
        <v>11692271</v>
      </c>
      <c r="G24" s="106">
        <f>GETPIVOTDATA("Somme de Spent in $",$K$2,"Donor","Wildcat 2025","Mois",8)</f>
        <v>20839.535994808622</v>
      </c>
      <c r="H24" s="112">
        <f t="shared" si="2"/>
        <v>14791970</v>
      </c>
      <c r="I24" s="112">
        <f t="shared" si="2"/>
        <v>27393.284018744129</v>
      </c>
      <c r="K24" s="171" t="s">
        <v>2317</v>
      </c>
      <c r="L24" s="319">
        <v>12832742</v>
      </c>
      <c r="M24" s="319">
        <v>21829.91075491453</v>
      </c>
      <c r="N24" s="319">
        <v>17885797</v>
      </c>
      <c r="O24" s="319">
        <v>30000</v>
      </c>
    </row>
    <row r="25" spans="1:15">
      <c r="A25" s="108" t="s">
        <v>89</v>
      </c>
      <c r="B25" s="106"/>
      <c r="C25" s="106"/>
      <c r="D25" s="106">
        <f>+GETPIVOTDATA("Somme de Receved in XAF",$K$2,"Donor","Wildcat 2025","Mois",9)</f>
        <v>266752</v>
      </c>
      <c r="E25" s="106">
        <f>+GETPIVOTDATA("Somme de Receved  $",$K$2,"Donor","Wildcat 2025","Mois",9)</f>
        <v>500</v>
      </c>
      <c r="F25" s="107">
        <f>GETPIVOTDATA("Somme de Spent  in XAF",$K$2,"Donor","Wildcat 2025","Mois",9)</f>
        <v>3827559</v>
      </c>
      <c r="G25" s="106">
        <f>GETPIVOTDATA("Somme de Spent in $",$K$2,"Donor","Wildcat 2025","Mois",9)</f>
        <v>6821.6660546010216</v>
      </c>
      <c r="H25" s="112">
        <f t="shared" si="2"/>
        <v>11231163</v>
      </c>
      <c r="I25" s="112">
        <f t="shared" si="2"/>
        <v>21071.617964143108</v>
      </c>
      <c r="J25" s="169">
        <f>+D25/E25</f>
        <v>533.50400000000002</v>
      </c>
      <c r="K25" s="171" t="s">
        <v>2312</v>
      </c>
      <c r="L25" s="319">
        <v>821862</v>
      </c>
      <c r="M25" s="319">
        <v>1378.5166883878207</v>
      </c>
      <c r="N25" s="319"/>
      <c r="O25" s="319"/>
    </row>
    <row r="26" spans="1:15">
      <c r="A26" s="105" t="s">
        <v>90</v>
      </c>
      <c r="B26" s="106"/>
      <c r="C26" s="106"/>
      <c r="D26" s="106"/>
      <c r="E26" s="106"/>
      <c r="F26" s="107"/>
      <c r="G26" s="106"/>
      <c r="H26" s="112">
        <f t="shared" si="2"/>
        <v>11231163</v>
      </c>
      <c r="I26" s="112">
        <f t="shared" si="2"/>
        <v>21071.617964143108</v>
      </c>
      <c r="K26" s="147" t="s">
        <v>1903</v>
      </c>
      <c r="L26" s="319">
        <v>34934761</v>
      </c>
      <c r="M26" s="319">
        <v>61428.382035856906</v>
      </c>
      <c r="N26" s="319">
        <v>46165924</v>
      </c>
      <c r="O26" s="319">
        <v>82500</v>
      </c>
    </row>
    <row r="27" spans="1:15">
      <c r="A27" s="105" t="s">
        <v>91</v>
      </c>
      <c r="B27" s="106"/>
      <c r="C27" s="106"/>
      <c r="D27" s="106"/>
      <c r="E27" s="106"/>
      <c r="F27" s="107"/>
      <c r="G27" s="106"/>
      <c r="H27" s="112">
        <f t="shared" si="2"/>
        <v>11231163</v>
      </c>
      <c r="I27" s="112">
        <f t="shared" si="2"/>
        <v>21071.617964143108</v>
      </c>
      <c r="K27" s="171" t="s">
        <v>2314</v>
      </c>
      <c r="L27" s="319">
        <v>12009908</v>
      </c>
      <c r="M27" s="319">
        <v>20603.401216999559</v>
      </c>
      <c r="N27" s="319">
        <v>17487258</v>
      </c>
      <c r="O27" s="319">
        <v>30000</v>
      </c>
    </row>
    <row r="28" spans="1:15">
      <c r="A28" s="115" t="s">
        <v>92</v>
      </c>
      <c r="B28" s="116"/>
      <c r="C28" s="116"/>
      <c r="D28" s="116"/>
      <c r="E28" s="116"/>
      <c r="F28" s="117"/>
      <c r="G28" s="116"/>
      <c r="H28" s="112">
        <f t="shared" si="2"/>
        <v>11231163</v>
      </c>
      <c r="I28" s="112">
        <f t="shared" si="2"/>
        <v>21071.617964143108</v>
      </c>
      <c r="J28" s="169"/>
      <c r="K28" s="171" t="s">
        <v>2315</v>
      </c>
      <c r="L28" s="319">
        <v>3911880</v>
      </c>
      <c r="M28" s="319">
        <v>6936.5039158833861</v>
      </c>
      <c r="N28" s="319">
        <v>14023562</v>
      </c>
      <c r="O28" s="319">
        <v>25000</v>
      </c>
    </row>
    <row r="29" spans="1:15">
      <c r="A29" s="102" t="s">
        <v>1133</v>
      </c>
      <c r="B29" s="103">
        <v>0</v>
      </c>
      <c r="C29" s="104">
        <v>0</v>
      </c>
      <c r="D29" s="104">
        <f>SUM(D30:D41)</f>
        <v>11441630</v>
      </c>
      <c r="E29" s="104">
        <f>SUM(E30:E41)</f>
        <v>21000</v>
      </c>
      <c r="F29" s="104">
        <f>SUM(F30:F41)</f>
        <v>11416819</v>
      </c>
      <c r="G29" s="104">
        <f>SUM(G30:G41)</f>
        <v>20951.54420379478</v>
      </c>
      <c r="H29" s="104">
        <f>B29+D29-F29</f>
        <v>24811</v>
      </c>
      <c r="I29" s="104">
        <f>C29+E29-G29</f>
        <v>48.455796205220395</v>
      </c>
      <c r="K29" s="171" t="s">
        <v>2316</v>
      </c>
      <c r="L29" s="319">
        <v>1782188</v>
      </c>
      <c r="M29" s="319">
        <v>3177.1314591827681</v>
      </c>
      <c r="N29" s="319"/>
      <c r="O29" s="319"/>
    </row>
    <row r="30" spans="1:15">
      <c r="A30" s="113" t="s">
        <v>81</v>
      </c>
      <c r="B30" s="109"/>
      <c r="C30" s="110"/>
      <c r="D30" s="110"/>
      <c r="E30" s="109"/>
      <c r="F30" s="111"/>
      <c r="G30" s="109"/>
      <c r="H30" s="112">
        <f>B29+D30-F30</f>
        <v>0</v>
      </c>
      <c r="I30" s="112">
        <f>C29+E30-G30</f>
        <v>0</v>
      </c>
      <c r="K30" s="171" t="s">
        <v>2318</v>
      </c>
      <c r="L30" s="319">
        <v>1710955</v>
      </c>
      <c r="M30" s="319">
        <v>3050.1433943815391</v>
      </c>
      <c r="N30" s="319"/>
      <c r="O30" s="319"/>
    </row>
    <row r="31" spans="1:15">
      <c r="A31" s="113" t="s">
        <v>82</v>
      </c>
      <c r="B31" s="109"/>
      <c r="C31" s="110"/>
      <c r="D31" s="110"/>
      <c r="E31" s="109"/>
      <c r="F31" s="111"/>
      <c r="G31" s="109"/>
      <c r="H31" s="112">
        <f>H30+D31-F31</f>
        <v>0</v>
      </c>
      <c r="I31" s="112">
        <f>I30+E31-G31</f>
        <v>0</v>
      </c>
      <c r="K31" s="171" t="s">
        <v>2802</v>
      </c>
      <c r="L31" s="319">
        <v>11692271</v>
      </c>
      <c r="M31" s="319">
        <v>20839.535994808622</v>
      </c>
      <c r="N31" s="319">
        <v>14388352</v>
      </c>
      <c r="O31" s="319">
        <v>27000</v>
      </c>
    </row>
    <row r="32" spans="1:15">
      <c r="A32" s="114" t="s">
        <v>83</v>
      </c>
      <c r="B32" s="106"/>
      <c r="C32" s="106"/>
      <c r="D32" s="106">
        <f>GETPIVOTDATA("Somme de Receved in XAF",$K$2,"Donor","OAT","Mois",3)</f>
        <v>2898230</v>
      </c>
      <c r="E32" s="106">
        <f>GETPIVOTDATA("Somme de Receved  $",$K$2,"Donor","OAT","Mois",3)</f>
        <v>5000</v>
      </c>
      <c r="F32" s="107">
        <f>GETPIVOTDATA("Somme de Spent  in XAF",$K$2,"Donor","OAT","Mois",3)</f>
        <v>2392885</v>
      </c>
      <c r="G32" s="106">
        <f>GETPIVOTDATA("Somme de Spent in $",$K$2,"Donor","OAT","Mois",3)</f>
        <v>4128.1834084941502</v>
      </c>
      <c r="H32" s="112">
        <f t="shared" ref="H32:I41" si="3">H31+D32-F32</f>
        <v>505345</v>
      </c>
      <c r="I32" s="112">
        <f t="shared" si="3"/>
        <v>871.81659150584983</v>
      </c>
      <c r="J32" s="163">
        <f>+D20/E20</f>
        <v>582.90859999999998</v>
      </c>
      <c r="K32" s="171" t="s">
        <v>3607</v>
      </c>
      <c r="L32" s="319">
        <v>3827559</v>
      </c>
      <c r="M32" s="319">
        <v>6821.6660546010216</v>
      </c>
      <c r="N32" s="319">
        <v>266752</v>
      </c>
      <c r="O32" s="319">
        <v>500</v>
      </c>
    </row>
    <row r="33" spans="1:15">
      <c r="A33" s="113" t="s">
        <v>84</v>
      </c>
      <c r="B33" s="106"/>
      <c r="C33" s="106"/>
      <c r="D33" s="106"/>
      <c r="E33" s="106"/>
      <c r="F33" s="107">
        <f>GETPIVOTDATA("Somme de Spent  in XAF",$K$2,"Donor","OAT","Mois",4)</f>
        <v>506000</v>
      </c>
      <c r="G33" s="106">
        <f>GETPIVOTDATA("Somme de Spent in $",$K$2,"Donor","OAT","Mois",4)</f>
        <v>872.94659154035401</v>
      </c>
      <c r="H33" s="112">
        <f t="shared" si="3"/>
        <v>-655</v>
      </c>
      <c r="I33" s="112">
        <f t="shared" si="3"/>
        <v>-1.1300000345041781</v>
      </c>
      <c r="J33" s="163">
        <f>D21/E21</f>
        <v>560.94248000000005</v>
      </c>
      <c r="K33" s="147" t="s">
        <v>463</v>
      </c>
      <c r="L33" s="319">
        <v>108507576</v>
      </c>
      <c r="M33" s="319">
        <v>190030.36687170606</v>
      </c>
      <c r="N33" s="319">
        <v>103859050</v>
      </c>
      <c r="O33" s="319">
        <v>184000</v>
      </c>
    </row>
    <row r="34" spans="1:15">
      <c r="A34" s="114" t="s">
        <v>85</v>
      </c>
      <c r="B34" s="106"/>
      <c r="C34" s="106"/>
      <c r="D34" s="106"/>
      <c r="E34" s="106"/>
      <c r="F34" s="107"/>
      <c r="G34" s="106"/>
      <c r="H34" s="112">
        <f t="shared" si="3"/>
        <v>-655</v>
      </c>
      <c r="I34" s="112">
        <f t="shared" si="3"/>
        <v>-1.1300000345041781</v>
      </c>
    </row>
    <row r="35" spans="1:15">
      <c r="A35" s="105" t="s">
        <v>86</v>
      </c>
      <c r="B35" s="106"/>
      <c r="C35" s="106"/>
      <c r="D35" s="106"/>
      <c r="E35" s="106"/>
      <c r="F35" s="107"/>
      <c r="G35" s="106"/>
      <c r="H35" s="112">
        <f t="shared" si="3"/>
        <v>-655</v>
      </c>
      <c r="I35" s="112">
        <f t="shared" si="3"/>
        <v>-1.1300000345041781</v>
      </c>
    </row>
    <row r="36" spans="1:15">
      <c r="A36" s="105" t="s">
        <v>87</v>
      </c>
      <c r="B36" s="106"/>
      <c r="C36" s="106"/>
      <c r="D36" s="106">
        <f>GETPIVOTDATA("Somme de Receved in XAF",$K$2,"Donor","OAT","Mois",7)</f>
        <v>5342381</v>
      </c>
      <c r="E36" s="106">
        <f>GETPIVOTDATA("Somme de Receved  $",$K$2,"Donor","OAT","Mois",7)</f>
        <v>10000</v>
      </c>
      <c r="F36" s="107">
        <f>GETPIVOTDATA("Somme de Spent  in XAF",$K$2,"Donor","OAT","Mois",7)</f>
        <v>5334511</v>
      </c>
      <c r="G36" s="106">
        <f>GETPIVOTDATA("Somme de Spent in $",$K$2,"Donor","OAT","Mois",7)</f>
        <v>9985.2687406607474</v>
      </c>
      <c r="H36" s="112">
        <f t="shared" si="3"/>
        <v>7215</v>
      </c>
      <c r="I36" s="112">
        <f t="shared" si="3"/>
        <v>13.601259304748964</v>
      </c>
      <c r="J36" s="163">
        <f>D36/E36</f>
        <v>534.23810000000003</v>
      </c>
    </row>
    <row r="37" spans="1:15">
      <c r="A37" s="105" t="s">
        <v>88</v>
      </c>
      <c r="B37" s="106"/>
      <c r="C37" s="106"/>
      <c r="D37" s="106"/>
      <c r="E37" s="106"/>
      <c r="F37" s="107"/>
      <c r="G37" s="106"/>
      <c r="H37" s="112">
        <f t="shared" si="3"/>
        <v>7215</v>
      </c>
      <c r="I37" s="112">
        <f t="shared" si="3"/>
        <v>13.601259304748964</v>
      </c>
    </row>
    <row r="38" spans="1:15">
      <c r="A38" s="108" t="s">
        <v>89</v>
      </c>
      <c r="B38" s="106"/>
      <c r="C38" s="106"/>
      <c r="D38" s="106">
        <f>GETPIVOTDATA("Somme de Receved in XAF",$K$2,"Donor","OAT","Mois",9)</f>
        <v>3201019</v>
      </c>
      <c r="E38" s="106">
        <f>GETPIVOTDATA("Somme de Receved  $",$K$2,"Donor","OAT","Mois",9)</f>
        <v>6000</v>
      </c>
      <c r="F38" s="107">
        <f>+GETPIVOTDATA("Somme de Spent  in XAF",$K$2,"Donor","OAT","Mois",9)</f>
        <v>3183423</v>
      </c>
      <c r="G38" s="106">
        <f>GETPIVOTDATA("Somme de Spent in $",$K$2,"Donor","OAT","Mois",9)</f>
        <v>5965.1454630995295</v>
      </c>
      <c r="H38" s="112">
        <f t="shared" si="3"/>
        <v>24811</v>
      </c>
      <c r="I38" s="112">
        <f t="shared" si="3"/>
        <v>48.455796205219485</v>
      </c>
      <c r="J38" s="169">
        <f>+D38/E38</f>
        <v>533.50316666666663</v>
      </c>
    </row>
    <row r="39" spans="1:15">
      <c r="A39" s="105" t="s">
        <v>90</v>
      </c>
      <c r="B39" s="106"/>
      <c r="C39" s="106"/>
      <c r="D39" s="106"/>
      <c r="E39" s="106"/>
      <c r="F39" s="107"/>
      <c r="G39" s="106"/>
      <c r="H39" s="112">
        <f t="shared" si="3"/>
        <v>24811</v>
      </c>
      <c r="I39" s="112">
        <f t="shared" si="3"/>
        <v>48.455796205219485</v>
      </c>
    </row>
    <row r="40" spans="1:15">
      <c r="A40" s="105" t="s">
        <v>91</v>
      </c>
      <c r="B40" s="106"/>
      <c r="C40" s="106"/>
      <c r="D40" s="106"/>
      <c r="E40" s="106"/>
      <c r="F40" s="107"/>
      <c r="G40" s="106"/>
      <c r="H40" s="112">
        <f t="shared" si="3"/>
        <v>24811</v>
      </c>
      <c r="I40" s="112">
        <f t="shared" si="3"/>
        <v>48.455796205219485</v>
      </c>
    </row>
    <row r="41" spans="1:15">
      <c r="A41" s="115" t="s">
        <v>92</v>
      </c>
      <c r="B41" s="116"/>
      <c r="C41" s="116"/>
      <c r="D41" s="116"/>
      <c r="E41" s="116"/>
      <c r="F41" s="117"/>
      <c r="G41" s="116"/>
      <c r="H41" s="112">
        <f t="shared" si="3"/>
        <v>24811</v>
      </c>
      <c r="I41" s="112">
        <f t="shared" si="3"/>
        <v>48.455796205219485</v>
      </c>
    </row>
    <row r="42" spans="1:15">
      <c r="A42" s="102"/>
      <c r="B42" s="103"/>
      <c r="C42" s="104"/>
      <c r="D42" s="104">
        <f>SUM(D43:D54)</f>
        <v>0</v>
      </c>
      <c r="E42" s="104">
        <f>SUM(E43:E54)</f>
        <v>0</v>
      </c>
      <c r="F42" s="104">
        <f>SUM(F43:F54)</f>
        <v>0</v>
      </c>
      <c r="G42" s="104">
        <f>SUM(G43:G54)</f>
        <v>0</v>
      </c>
      <c r="H42" s="104">
        <f>B42+D42-F42</f>
        <v>0</v>
      </c>
      <c r="I42" s="104">
        <f>C42+E42-G42</f>
        <v>0</v>
      </c>
    </row>
    <row r="43" spans="1:15">
      <c r="A43" s="113" t="s">
        <v>81</v>
      </c>
      <c r="B43" s="109"/>
      <c r="C43" s="110"/>
      <c r="D43" s="110"/>
      <c r="E43" s="109"/>
      <c r="F43" s="111"/>
      <c r="G43" s="109"/>
      <c r="H43" s="112"/>
      <c r="I43" s="112"/>
    </row>
    <row r="44" spans="1:15">
      <c r="A44" s="113" t="s">
        <v>82</v>
      </c>
      <c r="B44" s="109"/>
      <c r="C44" s="110"/>
      <c r="D44" s="110"/>
      <c r="E44" s="109"/>
      <c r="F44" s="214"/>
      <c r="G44" s="215"/>
      <c r="H44" s="112"/>
      <c r="I44" s="112"/>
    </row>
    <row r="45" spans="1:15">
      <c r="A45" s="114" t="s">
        <v>83</v>
      </c>
      <c r="B45" s="106"/>
      <c r="C45" s="106"/>
      <c r="D45" s="106"/>
      <c r="E45" s="106"/>
      <c r="F45" s="214"/>
      <c r="G45" s="106"/>
      <c r="H45" s="112"/>
      <c r="I45" s="112"/>
    </row>
    <row r="46" spans="1:15">
      <c r="A46" s="113" t="s">
        <v>84</v>
      </c>
      <c r="B46" s="106"/>
      <c r="C46" s="106"/>
      <c r="D46" s="106"/>
      <c r="E46" s="106"/>
      <c r="F46" s="214"/>
      <c r="G46" s="106"/>
      <c r="H46" s="112"/>
      <c r="I46" s="112"/>
    </row>
    <row r="47" spans="1:15">
      <c r="A47" s="114" t="s">
        <v>85</v>
      </c>
      <c r="B47" s="106"/>
      <c r="C47" s="106"/>
      <c r="D47" s="106"/>
      <c r="E47" s="106"/>
      <c r="F47" s="107"/>
      <c r="G47" s="106"/>
      <c r="H47" s="112"/>
      <c r="I47" s="112"/>
    </row>
    <row r="48" spans="1:15">
      <c r="A48" s="105" t="s">
        <v>86</v>
      </c>
      <c r="B48" s="106"/>
      <c r="C48" s="106"/>
      <c r="D48" s="106"/>
      <c r="E48" s="106"/>
      <c r="F48" s="107"/>
      <c r="G48" s="106"/>
      <c r="H48" s="112"/>
      <c r="I48" s="112"/>
    </row>
    <row r="49" spans="1:10">
      <c r="A49" s="105" t="s">
        <v>87</v>
      </c>
      <c r="B49" s="106"/>
      <c r="C49" s="106"/>
      <c r="D49" s="106"/>
      <c r="E49" s="106"/>
      <c r="F49" s="107"/>
      <c r="G49" s="106"/>
      <c r="H49" s="112"/>
      <c r="I49" s="112"/>
    </row>
    <row r="50" spans="1:10">
      <c r="A50" s="105" t="s">
        <v>88</v>
      </c>
      <c r="B50" s="106"/>
      <c r="C50" s="106"/>
      <c r="D50" s="106"/>
      <c r="E50" s="106"/>
      <c r="F50" s="107"/>
      <c r="G50" s="106"/>
      <c r="H50" s="112"/>
      <c r="I50" s="112"/>
    </row>
    <row r="51" spans="1:10">
      <c r="A51" s="108" t="s">
        <v>89</v>
      </c>
      <c r="B51" s="106"/>
      <c r="C51" s="106"/>
      <c r="D51" s="106"/>
      <c r="E51" s="106"/>
      <c r="F51" s="107"/>
      <c r="G51" s="106"/>
      <c r="H51" s="112"/>
      <c r="I51" s="112"/>
    </row>
    <row r="52" spans="1:10">
      <c r="A52" s="105" t="s">
        <v>90</v>
      </c>
      <c r="B52" s="106"/>
      <c r="C52" s="106"/>
      <c r="D52" s="106"/>
      <c r="E52" s="106"/>
      <c r="F52" s="107"/>
      <c r="G52" s="106"/>
      <c r="H52" s="112"/>
      <c r="I52" s="112"/>
    </row>
    <row r="53" spans="1:10">
      <c r="A53" s="105" t="s">
        <v>91</v>
      </c>
      <c r="B53" s="106"/>
      <c r="C53" s="106"/>
      <c r="D53" s="106"/>
      <c r="E53" s="106"/>
      <c r="F53" s="107"/>
      <c r="G53" s="106"/>
      <c r="H53" s="112"/>
      <c r="I53" s="112"/>
    </row>
    <row r="54" spans="1:10">
      <c r="A54" s="115" t="s">
        <v>92</v>
      </c>
      <c r="B54" s="116"/>
      <c r="C54" s="116"/>
      <c r="D54" s="116"/>
      <c r="E54" s="116"/>
      <c r="F54" s="117"/>
      <c r="G54" s="116"/>
      <c r="H54" s="112"/>
      <c r="I54" s="112"/>
      <c r="J54" s="163">
        <f>D32/E32</f>
        <v>579.64599999999996</v>
      </c>
    </row>
    <row r="55" spans="1:10" ht="26.4">
      <c r="A55" s="298" t="s">
        <v>2097</v>
      </c>
      <c r="B55" s="299">
        <v>-5950675.7000000002</v>
      </c>
      <c r="C55" s="299">
        <v>-10017.969999999999</v>
      </c>
      <c r="D55" s="299"/>
      <c r="E55" s="300"/>
      <c r="F55" s="299"/>
      <c r="G55" s="301"/>
      <c r="H55" s="299">
        <f>+B55</f>
        <v>-5950675.7000000002</v>
      </c>
      <c r="I55" s="300">
        <f>+C55</f>
        <v>-10017.969999999999</v>
      </c>
    </row>
    <row r="56" spans="1:10">
      <c r="A56" s="298" t="s">
        <v>1902</v>
      </c>
      <c r="B56" s="299">
        <v>-1211363.3</v>
      </c>
      <c r="C56" s="300">
        <v>-2031.83</v>
      </c>
      <c r="D56" s="299">
        <f>GETPIVOTDATA("Somme de Receved in XAF",$K$2,"Donor","Wildcat 2024")</f>
        <v>17885797</v>
      </c>
      <c r="E56" s="300">
        <f>GETPIVOTDATA("Somme de Receved  $",$K$2,"Donor","Wildcat 2024")</f>
        <v>30000</v>
      </c>
      <c r="F56" s="299">
        <f>GETPIVOTDATA("Somme de Spent  in XAF",$K$2,"Donor","Wildcat 2024")</f>
        <v>13654604</v>
      </c>
      <c r="G56" s="301">
        <f>GETPIVOTDATA("Somme de Spent in $",$K$2,"Donor","Wildcat 2024")</f>
        <v>23208.427443302349</v>
      </c>
      <c r="H56" s="299">
        <f>B56+D56-F56</f>
        <v>3019829.6999999993</v>
      </c>
      <c r="I56" s="300">
        <f>C56+E56-G56</f>
        <v>4759.742556697649</v>
      </c>
    </row>
    <row r="57" spans="1:10">
      <c r="A57" s="298" t="s">
        <v>1132</v>
      </c>
      <c r="B57" s="299">
        <v>2107400</v>
      </c>
      <c r="C57" s="300">
        <v>0</v>
      </c>
      <c r="D57" s="299">
        <v>0</v>
      </c>
      <c r="E57" s="300">
        <v>0</v>
      </c>
      <c r="F57" s="299">
        <f>GETPIVOTDATA("Somme de Spent  in XAF",$K$2,"Donor","UE")</f>
        <v>2107400</v>
      </c>
      <c r="G57" s="301">
        <v>0</v>
      </c>
      <c r="H57" s="299">
        <f>B57+D57-F57</f>
        <v>0</v>
      </c>
      <c r="I57" s="300">
        <v>0</v>
      </c>
      <c r="J57" s="163">
        <f>D32/E32</f>
        <v>579.64599999999996</v>
      </c>
    </row>
    <row r="58" spans="1:10">
      <c r="A58" s="298" t="s">
        <v>439</v>
      </c>
      <c r="B58" s="299">
        <v>3069109.09</v>
      </c>
      <c r="C58" s="300">
        <v>5000</v>
      </c>
      <c r="D58" s="299">
        <v>0</v>
      </c>
      <c r="E58" s="300">
        <v>0</v>
      </c>
      <c r="F58" s="299">
        <f>GETPIVOTDATA("Somme de Spent  in XAF",$K$2,"Donor","Rufford")</f>
        <v>3055340</v>
      </c>
      <c r="G58" s="301">
        <f>GETPIVOTDATA("Somme de Spent in $",$K$2,"Donor","Rufford")</f>
        <v>4977.5684082904827</v>
      </c>
      <c r="H58" s="299">
        <f>B58+D58-F58</f>
        <v>13769.089999999851</v>
      </c>
      <c r="I58" s="300">
        <f>C58+E58-G58</f>
        <v>22.431591709517306</v>
      </c>
    </row>
    <row r="59" spans="1:10">
      <c r="A59" s="298" t="s">
        <v>201</v>
      </c>
      <c r="B59" s="299">
        <v>13324442.9</v>
      </c>
      <c r="C59" s="299">
        <v>23002.880000000001</v>
      </c>
      <c r="D59" s="299">
        <f>GETPIVOTDATA("Somme de Receved in XAF",$K$2,"Donor","OAK","Mois",3)</f>
        <v>17389380</v>
      </c>
      <c r="E59" s="300">
        <f>GETPIVOTDATA("Somme de Receved  $",$K$2,"Donor","OAK","Mois",3)</f>
        <v>30000</v>
      </c>
      <c r="F59" s="299">
        <f>GETPIVOTDATA("Somme de Spent  in XAF",$K$2,"Donor","OAK")</f>
        <v>38956819</v>
      </c>
      <c r="G59" s="301">
        <f>GETPIVOTDATA("Somme de Spent in $",$K$2,"Donor","OAK")</f>
        <v>67675.982714933547</v>
      </c>
      <c r="H59" s="299">
        <f>B59+D59-F59</f>
        <v>-8242996.1000000015</v>
      </c>
      <c r="I59" s="300">
        <f>C59+E59-G59</f>
        <v>-14673.102714933542</v>
      </c>
    </row>
    <row r="60" spans="1:10" ht="14.4" thickBot="1">
      <c r="A60" s="297" t="s">
        <v>93</v>
      </c>
      <c r="B60" s="103">
        <f>B2+B9+B29+B42+B55+B16+B56+B57+B58+B59</f>
        <v>11338912.99</v>
      </c>
      <c r="C60" s="103">
        <f t="shared" ref="C60:I60" si="4">C2+C9+C29+C42+C55+C16+C56+C57+C58+C59</f>
        <v>15953.080000000002</v>
      </c>
      <c r="D60" s="103">
        <f t="shared" si="4"/>
        <v>103859050</v>
      </c>
      <c r="E60" s="103">
        <f t="shared" si="4"/>
        <v>184000</v>
      </c>
      <c r="F60" s="103">
        <f t="shared" si="4"/>
        <v>108507576</v>
      </c>
      <c r="G60" s="103">
        <f>G2+G9+G29+G42+G55+G16+G56+G57+G58+G59</f>
        <v>186394.69958512078</v>
      </c>
      <c r="H60" s="103">
        <f>H2+H9+H29+H42+H55+H16+H56+H57+H58+H59</f>
        <v>6690386.9899999984</v>
      </c>
      <c r="I60" s="103">
        <f t="shared" si="4"/>
        <v>13558.380414879211</v>
      </c>
    </row>
    <row r="62" spans="1:10">
      <c r="A62" s="158"/>
      <c r="B62" s="158">
        <v>11338913</v>
      </c>
      <c r="C62" s="158"/>
      <c r="D62" s="158"/>
      <c r="F62" t="s">
        <v>94</v>
      </c>
      <c r="H62" s="148">
        <f>'Balance  '!I29</f>
        <v>6690387</v>
      </c>
    </row>
    <row r="63" spans="1:10">
      <c r="A63" s="158"/>
      <c r="B63" s="158">
        <f>B60-B62</f>
        <v>-9.9999997764825821E-3</v>
      </c>
      <c r="C63" s="158"/>
      <c r="D63" s="158"/>
      <c r="F63" t="s">
        <v>50</v>
      </c>
      <c r="H63" s="158">
        <f>H60-H62</f>
        <v>-1.0000001639127731E-2</v>
      </c>
    </row>
    <row r="64" spans="1:10">
      <c r="B64" s="148"/>
    </row>
    <row r="65" spans="2:2">
      <c r="B65" s="161"/>
    </row>
    <row r="66" spans="2:2">
      <c r="B66" s="161"/>
    </row>
  </sheetData>
  <pageMargins left="0.7" right="0.7" top="0.78740157499999996" bottom="0.78740157499999996" header="0.3" footer="0.3"/>
  <pageSetup paperSize="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3">
    <tabColor rgb="FFFFFF00"/>
  </sheetPr>
  <dimension ref="A1:H53"/>
  <sheetViews>
    <sheetView workbookViewId="0">
      <selection activeCell="F73" sqref="F73"/>
    </sheetView>
  </sheetViews>
  <sheetFormatPr baseColWidth="10" defaultColWidth="8.69921875" defaultRowHeight="13.8"/>
  <cols>
    <col min="1" max="1" width="15.69921875" customWidth="1"/>
    <col min="2" max="2" width="44.09765625" style="71" customWidth="1"/>
    <col min="3" max="4" width="15.69921875" style="71" customWidth="1"/>
    <col min="5" max="6" width="15.69921875" customWidth="1"/>
    <col min="7" max="7" width="20.3984375" bestFit="1" customWidth="1"/>
    <col min="8" max="8" width="20.3984375" style="71" bestFit="1" customWidth="1"/>
  </cols>
  <sheetData>
    <row r="1" spans="1:8">
      <c r="A1" s="76" t="s">
        <v>1514</v>
      </c>
      <c r="B1" s="95" t="s">
        <v>1510</v>
      </c>
      <c r="C1" s="95" t="s">
        <v>1511</v>
      </c>
      <c r="D1" s="95" t="s">
        <v>1513</v>
      </c>
      <c r="E1" s="76" t="s">
        <v>1512</v>
      </c>
    </row>
    <row r="2" spans="1:8">
      <c r="A2" s="224">
        <v>45901</v>
      </c>
      <c r="B2" s="95">
        <v>220000</v>
      </c>
      <c r="C2" s="95"/>
      <c r="D2" s="95">
        <f>B2-C2</f>
        <v>220000</v>
      </c>
      <c r="E2" s="76"/>
      <c r="G2" s="170" t="s">
        <v>462</v>
      </c>
      <c r="H2" t="s">
        <v>1897</v>
      </c>
    </row>
    <row r="3" spans="1:8">
      <c r="A3" s="224">
        <v>45901</v>
      </c>
      <c r="B3" s="95"/>
      <c r="C3" s="95">
        <v>12500</v>
      </c>
      <c r="D3" s="95">
        <f>D2+B3-C3</f>
        <v>207500</v>
      </c>
      <c r="E3" s="76" t="s">
        <v>440</v>
      </c>
      <c r="G3" s="147" t="s">
        <v>189</v>
      </c>
      <c r="H3" s="319">
        <v>30000</v>
      </c>
    </row>
    <row r="4" spans="1:8">
      <c r="A4" s="224">
        <v>45901</v>
      </c>
      <c r="B4" s="95"/>
      <c r="C4" s="95">
        <v>7500</v>
      </c>
      <c r="D4" s="95">
        <f t="shared" ref="D4:D53" si="0">D3+B4-C4</f>
        <v>200000</v>
      </c>
      <c r="E4" s="76" t="s">
        <v>583</v>
      </c>
      <c r="G4" s="147" t="s">
        <v>1508</v>
      </c>
      <c r="H4" s="319">
        <v>40000</v>
      </c>
    </row>
    <row r="5" spans="1:8">
      <c r="A5" s="224">
        <v>45901</v>
      </c>
      <c r="B5" s="95"/>
      <c r="C5" s="95">
        <v>10000</v>
      </c>
      <c r="D5" s="95">
        <f t="shared" si="0"/>
        <v>190000</v>
      </c>
      <c r="E5" s="76" t="s">
        <v>1508</v>
      </c>
      <c r="G5" s="147" t="s">
        <v>437</v>
      </c>
      <c r="H5" s="319">
        <v>40000</v>
      </c>
    </row>
    <row r="6" spans="1:8">
      <c r="A6" s="224">
        <v>45901</v>
      </c>
      <c r="B6" s="95"/>
      <c r="C6" s="95">
        <v>10000</v>
      </c>
      <c r="D6" s="95">
        <f t="shared" si="0"/>
        <v>180000</v>
      </c>
      <c r="E6" s="76" t="s">
        <v>437</v>
      </c>
      <c r="G6" s="147" t="s">
        <v>440</v>
      </c>
      <c r="H6" s="319">
        <v>50000</v>
      </c>
    </row>
    <row r="7" spans="1:8">
      <c r="A7" s="224">
        <v>45901</v>
      </c>
      <c r="B7" s="95"/>
      <c r="C7" s="95">
        <v>7500</v>
      </c>
      <c r="D7" s="95">
        <f t="shared" si="0"/>
        <v>172500</v>
      </c>
      <c r="E7" s="76" t="s">
        <v>192</v>
      </c>
      <c r="G7" s="147" t="s">
        <v>212</v>
      </c>
      <c r="H7" s="319">
        <v>40000</v>
      </c>
    </row>
    <row r="8" spans="1:8">
      <c r="A8" s="224">
        <v>45901</v>
      </c>
      <c r="B8" s="95"/>
      <c r="C8" s="95">
        <v>7500</v>
      </c>
      <c r="D8" s="95">
        <f t="shared" si="0"/>
        <v>165000</v>
      </c>
      <c r="E8" s="76" t="s">
        <v>189</v>
      </c>
      <c r="G8" s="147" t="s">
        <v>322</v>
      </c>
      <c r="H8" s="319">
        <v>40000</v>
      </c>
    </row>
    <row r="9" spans="1:8">
      <c r="A9" s="224">
        <v>45901</v>
      </c>
      <c r="B9" s="95"/>
      <c r="C9" s="95">
        <v>7500</v>
      </c>
      <c r="D9" s="95">
        <f t="shared" si="0"/>
        <v>157500</v>
      </c>
      <c r="E9" s="76" t="s">
        <v>186</v>
      </c>
      <c r="G9" s="147" t="s">
        <v>316</v>
      </c>
      <c r="H9" s="319">
        <v>40000</v>
      </c>
    </row>
    <row r="10" spans="1:8">
      <c r="A10" s="224">
        <v>45901</v>
      </c>
      <c r="B10" s="95"/>
      <c r="C10" s="95">
        <v>10000</v>
      </c>
      <c r="D10" s="95">
        <f t="shared" si="0"/>
        <v>147500</v>
      </c>
      <c r="E10" s="76" t="s">
        <v>212</v>
      </c>
      <c r="G10" s="147" t="s">
        <v>183</v>
      </c>
      <c r="H10" s="319">
        <v>40000</v>
      </c>
    </row>
    <row r="11" spans="1:8">
      <c r="A11" s="224">
        <v>45901</v>
      </c>
      <c r="B11" s="95"/>
      <c r="C11" s="95">
        <v>10000</v>
      </c>
      <c r="D11" s="95">
        <f t="shared" si="0"/>
        <v>137500</v>
      </c>
      <c r="E11" s="76" t="s">
        <v>174</v>
      </c>
      <c r="G11" s="147" t="s">
        <v>583</v>
      </c>
      <c r="H11" s="319">
        <v>30000</v>
      </c>
    </row>
    <row r="12" spans="1:8">
      <c r="A12" s="224">
        <v>45901</v>
      </c>
      <c r="B12" s="95"/>
      <c r="C12" s="95">
        <v>10000</v>
      </c>
      <c r="D12" s="95">
        <f t="shared" si="0"/>
        <v>127500</v>
      </c>
      <c r="E12" s="76" t="s">
        <v>322</v>
      </c>
      <c r="G12" s="147" t="s">
        <v>192</v>
      </c>
      <c r="H12" s="319">
        <v>30000</v>
      </c>
    </row>
    <row r="13" spans="1:8">
      <c r="A13" s="224">
        <v>45901</v>
      </c>
      <c r="B13" s="95"/>
      <c r="C13" s="95">
        <v>10000</v>
      </c>
      <c r="D13" s="95">
        <f t="shared" si="0"/>
        <v>117500</v>
      </c>
      <c r="E13" s="76" t="s">
        <v>183</v>
      </c>
      <c r="G13" s="147" t="s">
        <v>186</v>
      </c>
      <c r="H13" s="319">
        <v>30000</v>
      </c>
    </row>
    <row r="14" spans="1:8">
      <c r="A14" s="224">
        <v>45901</v>
      </c>
      <c r="B14" s="95"/>
      <c r="C14" s="95">
        <v>10000</v>
      </c>
      <c r="D14" s="95">
        <f t="shared" si="0"/>
        <v>107500</v>
      </c>
      <c r="E14" s="76" t="s">
        <v>316</v>
      </c>
      <c r="G14" s="147" t="s">
        <v>174</v>
      </c>
      <c r="H14" s="319">
        <v>40000</v>
      </c>
    </row>
    <row r="15" spans="1:8">
      <c r="A15" s="224">
        <v>45908</v>
      </c>
      <c r="B15" s="95">
        <v>5000</v>
      </c>
      <c r="C15" s="95"/>
      <c r="D15" s="95">
        <f t="shared" si="0"/>
        <v>112500</v>
      </c>
      <c r="E15" s="76"/>
      <c r="G15" s="147" t="s">
        <v>1894</v>
      </c>
      <c r="H15" s="319"/>
    </row>
    <row r="16" spans="1:8">
      <c r="A16" s="224">
        <v>45908</v>
      </c>
      <c r="B16" s="95"/>
      <c r="C16" s="95">
        <v>12500</v>
      </c>
      <c r="D16" s="95">
        <f t="shared" si="0"/>
        <v>100000</v>
      </c>
      <c r="E16" s="76" t="s">
        <v>440</v>
      </c>
      <c r="G16" s="147" t="s">
        <v>463</v>
      </c>
      <c r="H16" s="319">
        <v>450000</v>
      </c>
    </row>
    <row r="17" spans="1:8">
      <c r="A17" s="224">
        <v>45908</v>
      </c>
      <c r="B17" s="95"/>
      <c r="C17" s="95">
        <v>7500</v>
      </c>
      <c r="D17" s="95">
        <f t="shared" si="0"/>
        <v>92500</v>
      </c>
      <c r="E17" s="76" t="s">
        <v>583</v>
      </c>
      <c r="H17"/>
    </row>
    <row r="18" spans="1:8">
      <c r="A18" s="224">
        <v>45908</v>
      </c>
      <c r="B18" s="164"/>
      <c r="C18" s="164">
        <v>10000</v>
      </c>
      <c r="D18" s="95">
        <f t="shared" si="0"/>
        <v>82500</v>
      </c>
      <c r="E18" s="76" t="s">
        <v>1508</v>
      </c>
    </row>
    <row r="19" spans="1:8">
      <c r="A19" s="224">
        <v>45908</v>
      </c>
      <c r="B19" s="76"/>
      <c r="C19" s="95">
        <v>10000</v>
      </c>
      <c r="D19" s="95">
        <f t="shared" si="0"/>
        <v>72500</v>
      </c>
      <c r="E19" s="76" t="s">
        <v>437</v>
      </c>
    </row>
    <row r="20" spans="1:8">
      <c r="A20" s="224">
        <v>45908</v>
      </c>
      <c r="B20" s="76"/>
      <c r="C20" s="95">
        <v>7500</v>
      </c>
      <c r="D20" s="95">
        <f t="shared" si="0"/>
        <v>65000</v>
      </c>
      <c r="E20" s="76" t="s">
        <v>192</v>
      </c>
    </row>
    <row r="21" spans="1:8">
      <c r="A21" s="224">
        <v>45908</v>
      </c>
      <c r="B21" s="76"/>
      <c r="C21" s="95">
        <v>7500</v>
      </c>
      <c r="D21" s="95">
        <f t="shared" si="0"/>
        <v>57500</v>
      </c>
      <c r="E21" s="76" t="s">
        <v>189</v>
      </c>
    </row>
    <row r="22" spans="1:8">
      <c r="A22" s="224">
        <v>45908</v>
      </c>
      <c r="B22" s="76"/>
      <c r="C22" s="95">
        <v>7500</v>
      </c>
      <c r="D22" s="95">
        <f t="shared" si="0"/>
        <v>50000</v>
      </c>
      <c r="E22" s="76" t="s">
        <v>186</v>
      </c>
    </row>
    <row r="23" spans="1:8">
      <c r="A23" s="224">
        <v>45908</v>
      </c>
      <c r="B23" s="76"/>
      <c r="C23" s="95">
        <v>10000</v>
      </c>
      <c r="D23" s="95">
        <f t="shared" si="0"/>
        <v>40000</v>
      </c>
      <c r="E23" s="76" t="s">
        <v>212</v>
      </c>
    </row>
    <row r="24" spans="1:8">
      <c r="A24" s="224">
        <v>45908</v>
      </c>
      <c r="B24" s="76"/>
      <c r="C24" s="95">
        <v>10000</v>
      </c>
      <c r="D24" s="95">
        <f t="shared" si="0"/>
        <v>30000</v>
      </c>
      <c r="E24" s="76" t="s">
        <v>174</v>
      </c>
    </row>
    <row r="25" spans="1:8">
      <c r="A25" s="224">
        <v>45908</v>
      </c>
      <c r="B25" s="76"/>
      <c r="C25" s="95">
        <v>10000</v>
      </c>
      <c r="D25" s="95">
        <f t="shared" si="0"/>
        <v>20000</v>
      </c>
      <c r="E25" s="76" t="s">
        <v>322</v>
      </c>
    </row>
    <row r="26" spans="1:8">
      <c r="A26" s="224">
        <v>45908</v>
      </c>
      <c r="B26" s="76"/>
      <c r="C26" s="95">
        <v>10000</v>
      </c>
      <c r="D26" s="95">
        <f t="shared" si="0"/>
        <v>10000</v>
      </c>
      <c r="E26" s="76" t="s">
        <v>183</v>
      </c>
    </row>
    <row r="27" spans="1:8">
      <c r="A27" s="224">
        <v>45908</v>
      </c>
      <c r="B27" s="76"/>
      <c r="C27" s="95">
        <v>10000</v>
      </c>
      <c r="D27" s="95">
        <f t="shared" si="0"/>
        <v>0</v>
      </c>
      <c r="E27" s="76" t="s">
        <v>316</v>
      </c>
    </row>
    <row r="28" spans="1:8">
      <c r="A28" s="224">
        <v>45917</v>
      </c>
      <c r="B28" s="76">
        <v>112500</v>
      </c>
      <c r="C28" s="76"/>
      <c r="D28" s="95">
        <f t="shared" si="0"/>
        <v>112500</v>
      </c>
      <c r="E28" s="76"/>
    </row>
    <row r="29" spans="1:8">
      <c r="A29" s="224">
        <v>45917</v>
      </c>
      <c r="B29" s="76"/>
      <c r="C29" s="76">
        <v>12500</v>
      </c>
      <c r="D29" s="95">
        <f t="shared" si="0"/>
        <v>100000</v>
      </c>
      <c r="E29" s="76" t="s">
        <v>440</v>
      </c>
    </row>
    <row r="30" spans="1:8">
      <c r="A30" s="224">
        <v>45917</v>
      </c>
      <c r="B30" s="76"/>
      <c r="C30" s="76">
        <v>7500</v>
      </c>
      <c r="D30" s="95">
        <f t="shared" si="0"/>
        <v>92500</v>
      </c>
      <c r="E30" s="76" t="s">
        <v>583</v>
      </c>
    </row>
    <row r="31" spans="1:8">
      <c r="A31" s="224">
        <v>45917</v>
      </c>
      <c r="B31" s="76"/>
      <c r="C31" s="76">
        <v>10000</v>
      </c>
      <c r="D31" s="95">
        <f t="shared" si="0"/>
        <v>82500</v>
      </c>
      <c r="E31" s="76" t="s">
        <v>1508</v>
      </c>
    </row>
    <row r="32" spans="1:8">
      <c r="A32" s="224">
        <v>45917</v>
      </c>
      <c r="B32" s="76"/>
      <c r="C32" s="76">
        <v>10000</v>
      </c>
      <c r="D32" s="95">
        <f t="shared" si="0"/>
        <v>72500</v>
      </c>
      <c r="E32" s="76" t="s">
        <v>437</v>
      </c>
    </row>
    <row r="33" spans="1:5">
      <c r="A33" s="224">
        <v>45917</v>
      </c>
      <c r="B33" s="76"/>
      <c r="C33" s="76">
        <v>7500</v>
      </c>
      <c r="D33" s="95">
        <f t="shared" si="0"/>
        <v>65000</v>
      </c>
      <c r="E33" s="76" t="s">
        <v>192</v>
      </c>
    </row>
    <row r="34" spans="1:5">
      <c r="A34" s="224">
        <v>45917</v>
      </c>
      <c r="B34" s="76"/>
      <c r="C34" s="76">
        <v>7500</v>
      </c>
      <c r="D34" s="95">
        <f t="shared" si="0"/>
        <v>57500</v>
      </c>
      <c r="E34" s="76" t="s">
        <v>189</v>
      </c>
    </row>
    <row r="35" spans="1:5">
      <c r="A35" s="224">
        <v>45917</v>
      </c>
      <c r="B35" s="76"/>
      <c r="C35" s="76">
        <v>7500</v>
      </c>
      <c r="D35" s="95">
        <f t="shared" si="0"/>
        <v>50000</v>
      </c>
      <c r="E35" s="76" t="s">
        <v>186</v>
      </c>
    </row>
    <row r="36" spans="1:5">
      <c r="A36" s="224">
        <v>45917</v>
      </c>
      <c r="B36" s="76"/>
      <c r="C36" s="76">
        <v>10000</v>
      </c>
      <c r="D36" s="95">
        <f t="shared" si="0"/>
        <v>40000</v>
      </c>
      <c r="E36" s="76" t="s">
        <v>212</v>
      </c>
    </row>
    <row r="37" spans="1:5">
      <c r="A37" s="224">
        <v>45917</v>
      </c>
      <c r="B37" s="76"/>
      <c r="C37" s="76">
        <v>10000</v>
      </c>
      <c r="D37" s="95">
        <f t="shared" si="0"/>
        <v>30000</v>
      </c>
      <c r="E37" s="76" t="s">
        <v>174</v>
      </c>
    </row>
    <row r="38" spans="1:5">
      <c r="A38" s="224">
        <v>45917</v>
      </c>
      <c r="B38" s="76"/>
      <c r="C38" s="76">
        <v>10000</v>
      </c>
      <c r="D38" s="95">
        <f t="shared" si="0"/>
        <v>20000</v>
      </c>
      <c r="E38" s="76" t="s">
        <v>322</v>
      </c>
    </row>
    <row r="39" spans="1:5">
      <c r="A39" s="224">
        <v>45917</v>
      </c>
      <c r="B39" s="76"/>
      <c r="C39" s="76">
        <v>10000</v>
      </c>
      <c r="D39" s="95">
        <f t="shared" si="0"/>
        <v>10000</v>
      </c>
      <c r="E39" s="76" t="s">
        <v>183</v>
      </c>
    </row>
    <row r="40" spans="1:5">
      <c r="A40" s="224">
        <v>45917</v>
      </c>
      <c r="B40" s="76"/>
      <c r="C40" s="76">
        <v>10000</v>
      </c>
      <c r="D40" s="95">
        <f t="shared" si="0"/>
        <v>0</v>
      </c>
      <c r="E40" s="76" t="s">
        <v>316</v>
      </c>
    </row>
    <row r="41" spans="1:5">
      <c r="A41" s="224">
        <v>45929</v>
      </c>
      <c r="B41" s="76">
        <v>112500</v>
      </c>
      <c r="C41" s="76"/>
      <c r="D41" s="95">
        <f t="shared" si="0"/>
        <v>112500</v>
      </c>
      <c r="E41" s="76"/>
    </row>
    <row r="42" spans="1:5">
      <c r="A42" s="224">
        <v>45929</v>
      </c>
      <c r="B42" s="76"/>
      <c r="C42" s="76">
        <v>12500</v>
      </c>
      <c r="D42" s="95">
        <f t="shared" si="0"/>
        <v>100000</v>
      </c>
      <c r="E42" s="76" t="s">
        <v>440</v>
      </c>
    </row>
    <row r="43" spans="1:5">
      <c r="A43" s="224">
        <v>45929</v>
      </c>
      <c r="B43" s="76"/>
      <c r="C43" s="76">
        <v>7500</v>
      </c>
      <c r="D43" s="95">
        <f t="shared" si="0"/>
        <v>92500</v>
      </c>
      <c r="E43" s="76" t="s">
        <v>583</v>
      </c>
    </row>
    <row r="44" spans="1:5">
      <c r="A44" s="224">
        <v>45929</v>
      </c>
      <c r="B44" s="76"/>
      <c r="C44" s="76">
        <v>10000</v>
      </c>
      <c r="D44" s="95">
        <f t="shared" si="0"/>
        <v>82500</v>
      </c>
      <c r="E44" s="76" t="s">
        <v>1508</v>
      </c>
    </row>
    <row r="45" spans="1:5">
      <c r="A45" s="224">
        <v>45929</v>
      </c>
      <c r="B45" s="76"/>
      <c r="C45" s="76">
        <v>10000</v>
      </c>
      <c r="D45" s="95">
        <f t="shared" si="0"/>
        <v>72500</v>
      </c>
      <c r="E45" s="76" t="s">
        <v>437</v>
      </c>
    </row>
    <row r="46" spans="1:5">
      <c r="A46" s="224">
        <v>45929</v>
      </c>
      <c r="B46" s="76"/>
      <c r="C46" s="76">
        <v>7500</v>
      </c>
      <c r="D46" s="95">
        <f t="shared" si="0"/>
        <v>65000</v>
      </c>
      <c r="E46" s="76" t="s">
        <v>192</v>
      </c>
    </row>
    <row r="47" spans="1:5">
      <c r="A47" s="224">
        <v>45929</v>
      </c>
      <c r="B47" s="76"/>
      <c r="C47" s="76">
        <v>7500</v>
      </c>
      <c r="D47" s="95">
        <f t="shared" si="0"/>
        <v>57500</v>
      </c>
      <c r="E47" s="76" t="s">
        <v>189</v>
      </c>
    </row>
    <row r="48" spans="1:5">
      <c r="A48" s="224">
        <v>45929</v>
      </c>
      <c r="B48" s="76"/>
      <c r="C48" s="76">
        <v>7500</v>
      </c>
      <c r="D48" s="95">
        <f t="shared" si="0"/>
        <v>50000</v>
      </c>
      <c r="E48" s="76" t="s">
        <v>186</v>
      </c>
    </row>
    <row r="49" spans="1:5">
      <c r="A49" s="224">
        <v>45929</v>
      </c>
      <c r="B49" s="76"/>
      <c r="C49" s="76">
        <v>10000</v>
      </c>
      <c r="D49" s="95">
        <f t="shared" si="0"/>
        <v>40000</v>
      </c>
      <c r="E49" s="76" t="s">
        <v>212</v>
      </c>
    </row>
    <row r="50" spans="1:5">
      <c r="A50" s="224">
        <v>45929</v>
      </c>
      <c r="B50" s="76"/>
      <c r="C50" s="76">
        <v>10000</v>
      </c>
      <c r="D50" s="95">
        <f t="shared" si="0"/>
        <v>30000</v>
      </c>
      <c r="E50" s="76" t="s">
        <v>174</v>
      </c>
    </row>
    <row r="51" spans="1:5">
      <c r="A51" s="224">
        <v>45929</v>
      </c>
      <c r="B51" s="76"/>
      <c r="C51" s="76">
        <v>10000</v>
      </c>
      <c r="D51" s="95">
        <f t="shared" si="0"/>
        <v>20000</v>
      </c>
      <c r="E51" s="76" t="s">
        <v>322</v>
      </c>
    </row>
    <row r="52" spans="1:5">
      <c r="A52" s="224">
        <v>45929</v>
      </c>
      <c r="B52" s="76"/>
      <c r="C52" s="76">
        <v>10000</v>
      </c>
      <c r="D52" s="95">
        <f t="shared" si="0"/>
        <v>10000</v>
      </c>
      <c r="E52" s="76" t="s">
        <v>183</v>
      </c>
    </row>
    <row r="53" spans="1:5">
      <c r="A53" s="224">
        <v>45929</v>
      </c>
      <c r="B53" s="76"/>
      <c r="C53" s="76">
        <v>10000</v>
      </c>
      <c r="D53" s="95">
        <f t="shared" si="0"/>
        <v>0</v>
      </c>
      <c r="E53" s="76" t="s">
        <v>316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AY710"/>
  <sheetViews>
    <sheetView tabSelected="1" zoomScale="69" zoomScaleNormal="69" workbookViewId="0">
      <pane ySplit="1" topLeftCell="A2" activePane="bottomLeft" state="frozen"/>
      <selection pane="bottomLeft" activeCell="B711" sqref="B711"/>
    </sheetView>
  </sheetViews>
  <sheetFormatPr baseColWidth="10" defaultColWidth="8.69921875" defaultRowHeight="15.6"/>
  <cols>
    <col min="1" max="1" width="12.69921875" style="387" customWidth="1"/>
    <col min="2" max="2" width="82" customWidth="1"/>
    <col min="3" max="3" width="20.69921875" customWidth="1"/>
    <col min="4" max="4" width="12.69921875" customWidth="1"/>
    <col min="5" max="5" width="12.69921875" style="71" customWidth="1"/>
    <col min="6" max="6" width="17.69921875" style="71" customWidth="1"/>
    <col min="7" max="7" width="15.3984375" customWidth="1"/>
    <col min="8" max="8" width="17" customWidth="1"/>
    <col min="9" max="9" width="22.09765625" customWidth="1"/>
    <col min="10" max="14" width="12.69921875" customWidth="1"/>
    <col min="15" max="15" width="28.3984375" customWidth="1"/>
  </cols>
  <sheetData>
    <row r="1" spans="1:16" s="331" customFormat="1" ht="31.2">
      <c r="A1" s="383" t="s">
        <v>0</v>
      </c>
      <c r="B1" s="413" t="s">
        <v>1</v>
      </c>
      <c r="C1" s="413" t="s">
        <v>2</v>
      </c>
      <c r="D1" s="413" t="s">
        <v>3</v>
      </c>
      <c r="E1" s="414" t="s">
        <v>149</v>
      </c>
      <c r="F1" s="415" t="s">
        <v>4</v>
      </c>
      <c r="G1" s="416" t="s">
        <v>5</v>
      </c>
      <c r="H1" s="417" t="s">
        <v>10</v>
      </c>
      <c r="I1" s="417" t="s">
        <v>6</v>
      </c>
      <c r="J1" s="417" t="s">
        <v>7</v>
      </c>
      <c r="K1" s="418" t="s">
        <v>8</v>
      </c>
      <c r="L1" s="417" t="s">
        <v>9</v>
      </c>
      <c r="M1" s="419" t="s">
        <v>473</v>
      </c>
      <c r="N1" s="415" t="s">
        <v>474</v>
      </c>
      <c r="O1" s="417" t="s">
        <v>70</v>
      </c>
    </row>
    <row r="2" spans="1:16" s="331" customFormat="1">
      <c r="A2" s="476">
        <v>45901</v>
      </c>
      <c r="B2" s="359" t="s">
        <v>2100</v>
      </c>
      <c r="C2" s="462" t="s">
        <v>173</v>
      </c>
      <c r="D2" s="462" t="s">
        <v>118</v>
      </c>
      <c r="E2" s="359">
        <v>1000</v>
      </c>
      <c r="F2" s="463">
        <f t="shared" ref="F2:F26" si="0">E2/G2</f>
        <v>1.8744037053212446</v>
      </c>
      <c r="G2" s="464">
        <v>533.50300000000004</v>
      </c>
      <c r="H2" s="465" t="s">
        <v>152</v>
      </c>
      <c r="I2" s="469" t="s">
        <v>2868</v>
      </c>
      <c r="J2" s="247" t="s">
        <v>97</v>
      </c>
      <c r="K2" s="247" t="s">
        <v>2099</v>
      </c>
      <c r="L2" s="247" t="s">
        <v>154</v>
      </c>
      <c r="M2" s="335"/>
      <c r="N2" s="335"/>
      <c r="O2" s="335"/>
      <c r="P2" s="420"/>
    </row>
    <row r="3" spans="1:16" s="331" customFormat="1">
      <c r="A3" s="476">
        <v>45901</v>
      </c>
      <c r="B3" s="359" t="s">
        <v>2101</v>
      </c>
      <c r="C3" s="462" t="s">
        <v>173</v>
      </c>
      <c r="D3" s="462" t="s">
        <v>118</v>
      </c>
      <c r="E3" s="359">
        <v>1000</v>
      </c>
      <c r="F3" s="463">
        <f t="shared" si="0"/>
        <v>1.8744037053212446</v>
      </c>
      <c r="G3" s="464">
        <v>533.50300000000004</v>
      </c>
      <c r="H3" s="465" t="s">
        <v>152</v>
      </c>
      <c r="I3" s="469" t="s">
        <v>2868</v>
      </c>
      <c r="J3" s="247" t="s">
        <v>97</v>
      </c>
      <c r="K3" s="247" t="s">
        <v>2099</v>
      </c>
      <c r="L3" s="247" t="s">
        <v>154</v>
      </c>
      <c r="M3" s="335"/>
      <c r="N3" s="335"/>
      <c r="O3" s="335"/>
      <c r="P3" s="420"/>
    </row>
    <row r="4" spans="1:16" s="331" customFormat="1">
      <c r="A4" s="476">
        <v>45901</v>
      </c>
      <c r="B4" s="359" t="s">
        <v>2847</v>
      </c>
      <c r="C4" s="462" t="s">
        <v>151</v>
      </c>
      <c r="D4" s="462" t="s">
        <v>118</v>
      </c>
      <c r="E4" s="359">
        <v>12500</v>
      </c>
      <c r="F4" s="463">
        <f t="shared" si="0"/>
        <v>23.430046316515558</v>
      </c>
      <c r="G4" s="464">
        <v>533.50300000000004</v>
      </c>
      <c r="H4" s="465" t="s">
        <v>152</v>
      </c>
      <c r="I4" s="469" t="s">
        <v>2869</v>
      </c>
      <c r="J4" s="247" t="s">
        <v>97</v>
      </c>
      <c r="K4" s="247" t="s">
        <v>2099</v>
      </c>
      <c r="L4" s="247" t="s">
        <v>154</v>
      </c>
      <c r="M4" s="335"/>
      <c r="N4" s="335"/>
      <c r="O4" s="335"/>
      <c r="P4" s="420"/>
    </row>
    <row r="5" spans="1:16" s="424" customFormat="1">
      <c r="A5" s="473">
        <v>45901</v>
      </c>
      <c r="B5" s="337" t="s">
        <v>2879</v>
      </c>
      <c r="C5" s="337" t="s">
        <v>2391</v>
      </c>
      <c r="D5" s="337" t="s">
        <v>116</v>
      </c>
      <c r="E5" s="339">
        <v>120000</v>
      </c>
      <c r="F5" s="463">
        <f t="shared" si="0"/>
        <v>224.92844463854934</v>
      </c>
      <c r="G5" s="464">
        <v>533.50300000000004</v>
      </c>
      <c r="H5" s="339" t="s">
        <v>1508</v>
      </c>
      <c r="I5" s="337" t="s">
        <v>2907</v>
      </c>
      <c r="J5" s="247" t="s">
        <v>97</v>
      </c>
      <c r="K5" s="247" t="s">
        <v>2099</v>
      </c>
      <c r="L5" s="247" t="s">
        <v>154</v>
      </c>
      <c r="M5" s="335"/>
      <c r="N5" s="335"/>
      <c r="O5" s="335"/>
      <c r="P5" s="423"/>
    </row>
    <row r="6" spans="1:16" s="331" customFormat="1">
      <c r="A6" s="474">
        <v>45901</v>
      </c>
      <c r="B6" s="247" t="s">
        <v>2880</v>
      </c>
      <c r="C6" s="243" t="s">
        <v>151</v>
      </c>
      <c r="D6" s="243" t="s">
        <v>116</v>
      </c>
      <c r="E6" s="475">
        <v>10000</v>
      </c>
      <c r="F6" s="463">
        <f t="shared" si="0"/>
        <v>18.744037053212445</v>
      </c>
      <c r="G6" s="464">
        <v>533.50300000000004</v>
      </c>
      <c r="H6" s="339" t="s">
        <v>1508</v>
      </c>
      <c r="I6" s="216" t="s">
        <v>2908</v>
      </c>
      <c r="J6" s="247" t="s">
        <v>97</v>
      </c>
      <c r="K6" s="247" t="s">
        <v>2099</v>
      </c>
      <c r="L6" s="247" t="s">
        <v>154</v>
      </c>
      <c r="M6" s="414"/>
      <c r="N6" s="414"/>
      <c r="O6" s="414"/>
      <c r="P6" s="420"/>
    </row>
    <row r="7" spans="1:16" s="331" customFormat="1">
      <c r="A7" s="467">
        <v>45901</v>
      </c>
      <c r="B7" s="247" t="s">
        <v>2928</v>
      </c>
      <c r="C7" s="247" t="s">
        <v>173</v>
      </c>
      <c r="D7" s="247" t="s">
        <v>117</v>
      </c>
      <c r="E7" s="468">
        <v>1000</v>
      </c>
      <c r="F7" s="463">
        <f t="shared" si="0"/>
        <v>1.8744037053212446</v>
      </c>
      <c r="G7" s="464">
        <v>533.50300000000004</v>
      </c>
      <c r="H7" s="247" t="s">
        <v>583</v>
      </c>
      <c r="I7" s="247" t="s">
        <v>2970</v>
      </c>
      <c r="J7" s="247" t="s">
        <v>97</v>
      </c>
      <c r="K7" s="247" t="s">
        <v>2099</v>
      </c>
      <c r="L7" s="247" t="s">
        <v>154</v>
      </c>
      <c r="M7" s="335"/>
      <c r="N7" s="335"/>
      <c r="O7" s="335"/>
      <c r="P7" s="420"/>
    </row>
    <row r="8" spans="1:16" s="331" customFormat="1">
      <c r="A8" s="467">
        <v>45901</v>
      </c>
      <c r="B8" s="469" t="s">
        <v>2929</v>
      </c>
      <c r="C8" s="469" t="s">
        <v>173</v>
      </c>
      <c r="D8" s="469" t="s">
        <v>117</v>
      </c>
      <c r="E8" s="470">
        <v>500</v>
      </c>
      <c r="F8" s="463">
        <f t="shared" si="0"/>
        <v>0.93720185266062228</v>
      </c>
      <c r="G8" s="464">
        <v>533.50300000000004</v>
      </c>
      <c r="H8" s="469" t="s">
        <v>583</v>
      </c>
      <c r="I8" s="469" t="s">
        <v>2970</v>
      </c>
      <c r="J8" s="247" t="s">
        <v>97</v>
      </c>
      <c r="K8" s="247" t="s">
        <v>2099</v>
      </c>
      <c r="L8" s="247" t="s">
        <v>154</v>
      </c>
      <c r="M8" s="335"/>
      <c r="N8" s="335"/>
      <c r="O8" s="335"/>
      <c r="P8" s="420"/>
    </row>
    <row r="9" spans="1:16" s="331" customFormat="1">
      <c r="A9" s="467">
        <v>45901</v>
      </c>
      <c r="B9" s="469" t="s">
        <v>2930</v>
      </c>
      <c r="C9" s="469" t="s">
        <v>173</v>
      </c>
      <c r="D9" s="469" t="s">
        <v>117</v>
      </c>
      <c r="E9" s="470">
        <v>1000</v>
      </c>
      <c r="F9" s="463">
        <f t="shared" si="0"/>
        <v>1.8744037053212446</v>
      </c>
      <c r="G9" s="464">
        <v>533.50300000000004</v>
      </c>
      <c r="H9" s="469" t="s">
        <v>583</v>
      </c>
      <c r="I9" s="469" t="s">
        <v>2970</v>
      </c>
      <c r="J9" s="247" t="s">
        <v>97</v>
      </c>
      <c r="K9" s="247" t="s">
        <v>2099</v>
      </c>
      <c r="L9" s="247" t="s">
        <v>154</v>
      </c>
      <c r="M9" s="335"/>
      <c r="N9" s="335"/>
      <c r="O9" s="335"/>
      <c r="P9" s="420"/>
    </row>
    <row r="10" spans="1:16" s="331" customFormat="1">
      <c r="A10" s="471">
        <v>45901</v>
      </c>
      <c r="B10" s="469" t="s">
        <v>2931</v>
      </c>
      <c r="C10" s="247" t="s">
        <v>176</v>
      </c>
      <c r="D10" s="247" t="s">
        <v>116</v>
      </c>
      <c r="E10" s="468">
        <v>150000</v>
      </c>
      <c r="F10" s="463">
        <f t="shared" si="0"/>
        <v>281.16055579818669</v>
      </c>
      <c r="G10" s="464">
        <v>533.50300000000004</v>
      </c>
      <c r="H10" s="469" t="s">
        <v>583</v>
      </c>
      <c r="I10" s="247" t="s">
        <v>2971</v>
      </c>
      <c r="J10" s="247" t="s">
        <v>97</v>
      </c>
      <c r="K10" s="247" t="s">
        <v>2099</v>
      </c>
      <c r="L10" s="247" t="s">
        <v>154</v>
      </c>
      <c r="M10" s="335"/>
      <c r="N10" s="335"/>
      <c r="O10" s="335"/>
      <c r="P10" s="420"/>
    </row>
    <row r="11" spans="1:16" s="331" customFormat="1">
      <c r="A11" s="471">
        <v>45901</v>
      </c>
      <c r="B11" s="469" t="s">
        <v>2932</v>
      </c>
      <c r="C11" s="247" t="s">
        <v>173</v>
      </c>
      <c r="D11" s="247" t="s">
        <v>116</v>
      </c>
      <c r="E11" s="468">
        <v>12000</v>
      </c>
      <c r="F11" s="463">
        <f t="shared" si="0"/>
        <v>21.392586042763778</v>
      </c>
      <c r="G11" s="464">
        <v>560.94200000000001</v>
      </c>
      <c r="H11" s="469" t="s">
        <v>583</v>
      </c>
      <c r="I11" s="247" t="s">
        <v>2972</v>
      </c>
      <c r="J11" s="247" t="s">
        <v>97</v>
      </c>
      <c r="K11" s="247" t="s">
        <v>1903</v>
      </c>
      <c r="L11" s="247" t="s">
        <v>154</v>
      </c>
      <c r="M11" s="414"/>
      <c r="N11" s="414"/>
      <c r="O11" s="414"/>
      <c r="P11" s="420"/>
    </row>
    <row r="12" spans="1:16" s="331" customFormat="1">
      <c r="A12" s="467">
        <v>45901</v>
      </c>
      <c r="B12" s="469" t="s">
        <v>2933</v>
      </c>
      <c r="C12" s="469" t="s">
        <v>173</v>
      </c>
      <c r="D12" s="469" t="s">
        <v>117</v>
      </c>
      <c r="E12" s="470">
        <v>500</v>
      </c>
      <c r="F12" s="463">
        <f t="shared" si="0"/>
        <v>0.89135775178182408</v>
      </c>
      <c r="G12" s="464">
        <v>560.94200000000001</v>
      </c>
      <c r="H12" s="469" t="s">
        <v>583</v>
      </c>
      <c r="I12" s="469" t="s">
        <v>2970</v>
      </c>
      <c r="J12" s="247" t="s">
        <v>97</v>
      </c>
      <c r="K12" s="247" t="s">
        <v>1903</v>
      </c>
      <c r="L12" s="247" t="s">
        <v>154</v>
      </c>
      <c r="M12" s="414"/>
      <c r="N12" s="414"/>
      <c r="O12" s="414"/>
      <c r="P12" s="420"/>
    </row>
    <row r="13" spans="1:16" s="331" customFormat="1">
      <c r="A13" s="471">
        <v>45901</v>
      </c>
      <c r="B13" s="469" t="s">
        <v>2452</v>
      </c>
      <c r="C13" s="469" t="s">
        <v>181</v>
      </c>
      <c r="D13" s="469" t="s">
        <v>117</v>
      </c>
      <c r="E13" s="468">
        <v>9360</v>
      </c>
      <c r="F13" s="463">
        <f t="shared" si="0"/>
        <v>16.686217113355749</v>
      </c>
      <c r="G13" s="464">
        <v>560.94200000000001</v>
      </c>
      <c r="H13" s="247" t="s">
        <v>583</v>
      </c>
      <c r="I13" s="247" t="s">
        <v>2973</v>
      </c>
      <c r="J13" s="247" t="s">
        <v>97</v>
      </c>
      <c r="K13" s="247" t="s">
        <v>1903</v>
      </c>
      <c r="L13" s="247" t="s">
        <v>154</v>
      </c>
      <c r="M13" s="414"/>
      <c r="N13" s="414"/>
      <c r="O13" s="414"/>
      <c r="P13" s="420"/>
    </row>
    <row r="14" spans="1:16" s="331" customFormat="1">
      <c r="A14" s="467">
        <v>45901</v>
      </c>
      <c r="B14" s="469" t="s">
        <v>2452</v>
      </c>
      <c r="C14" s="469" t="s">
        <v>173</v>
      </c>
      <c r="D14" s="469" t="s">
        <v>117</v>
      </c>
      <c r="E14" s="470">
        <v>500</v>
      </c>
      <c r="F14" s="463">
        <f t="shared" si="0"/>
        <v>0.89135775178182408</v>
      </c>
      <c r="G14" s="464">
        <v>560.94200000000001</v>
      </c>
      <c r="H14" s="469" t="s">
        <v>583</v>
      </c>
      <c r="I14" s="469" t="s">
        <v>2970</v>
      </c>
      <c r="J14" s="247" t="s">
        <v>97</v>
      </c>
      <c r="K14" s="247" t="s">
        <v>1903</v>
      </c>
      <c r="L14" s="247" t="s">
        <v>154</v>
      </c>
      <c r="M14" s="414"/>
      <c r="N14" s="414"/>
      <c r="O14" s="414"/>
      <c r="P14" s="420"/>
    </row>
    <row r="15" spans="1:16" s="331" customFormat="1">
      <c r="A15" s="467">
        <v>45901</v>
      </c>
      <c r="B15" s="469" t="s">
        <v>2935</v>
      </c>
      <c r="C15" s="472" t="s">
        <v>151</v>
      </c>
      <c r="D15" s="469" t="s">
        <v>118</v>
      </c>
      <c r="E15" s="470">
        <v>7500</v>
      </c>
      <c r="F15" s="463">
        <f t="shared" si="0"/>
        <v>13.370366276727362</v>
      </c>
      <c r="G15" s="464">
        <v>560.94200000000001</v>
      </c>
      <c r="H15" s="469" t="s">
        <v>583</v>
      </c>
      <c r="I15" s="469" t="s">
        <v>2974</v>
      </c>
      <c r="J15" s="247" t="s">
        <v>97</v>
      </c>
      <c r="K15" s="247" t="s">
        <v>1903</v>
      </c>
      <c r="L15" s="247" t="s">
        <v>154</v>
      </c>
      <c r="M15" s="414"/>
      <c r="N15" s="414"/>
      <c r="O15" s="414"/>
      <c r="P15" s="420"/>
    </row>
    <row r="16" spans="1:16" s="424" customFormat="1">
      <c r="A16" s="473">
        <v>45901</v>
      </c>
      <c r="B16" s="339" t="s">
        <v>3770</v>
      </c>
      <c r="C16" s="339" t="s">
        <v>176</v>
      </c>
      <c r="D16" s="339" t="s">
        <v>120</v>
      </c>
      <c r="E16" s="339">
        <v>15000</v>
      </c>
      <c r="F16" s="463">
        <f t="shared" si="0"/>
        <v>26.740732553454723</v>
      </c>
      <c r="G16" s="464">
        <v>560.94200000000001</v>
      </c>
      <c r="H16" s="339" t="s">
        <v>183</v>
      </c>
      <c r="I16" s="339" t="s">
        <v>3085</v>
      </c>
      <c r="J16" s="247" t="s">
        <v>97</v>
      </c>
      <c r="K16" s="247" t="s">
        <v>1903</v>
      </c>
      <c r="L16" s="247" t="s">
        <v>154</v>
      </c>
      <c r="M16" s="335"/>
      <c r="N16" s="335"/>
      <c r="O16" s="335"/>
      <c r="P16" s="423"/>
    </row>
    <row r="17" spans="1:16" s="331" customFormat="1">
      <c r="A17" s="474">
        <v>45901</v>
      </c>
      <c r="B17" s="475" t="s">
        <v>2988</v>
      </c>
      <c r="C17" s="475" t="s">
        <v>173</v>
      </c>
      <c r="D17" s="475" t="s">
        <v>120</v>
      </c>
      <c r="E17" s="475">
        <v>1000</v>
      </c>
      <c r="F17" s="463">
        <f t="shared" si="0"/>
        <v>1.7827155035636482</v>
      </c>
      <c r="G17" s="464">
        <v>560.94200000000001</v>
      </c>
      <c r="H17" s="475" t="s">
        <v>183</v>
      </c>
      <c r="I17" s="475" t="s">
        <v>3086</v>
      </c>
      <c r="J17" s="247" t="s">
        <v>97</v>
      </c>
      <c r="K17" s="247" t="s">
        <v>1903</v>
      </c>
      <c r="L17" s="247" t="s">
        <v>154</v>
      </c>
      <c r="M17" s="414"/>
      <c r="N17" s="414"/>
      <c r="O17" s="414"/>
      <c r="P17" s="420"/>
    </row>
    <row r="18" spans="1:16" s="331" customFormat="1">
      <c r="A18" s="474">
        <v>45901</v>
      </c>
      <c r="B18" s="475" t="s">
        <v>2989</v>
      </c>
      <c r="C18" s="475" t="s">
        <v>173</v>
      </c>
      <c r="D18" s="475" t="s">
        <v>120</v>
      </c>
      <c r="E18" s="475">
        <v>2500</v>
      </c>
      <c r="F18" s="463">
        <f t="shared" si="0"/>
        <v>4.4567887589091209</v>
      </c>
      <c r="G18" s="464">
        <v>560.94200000000001</v>
      </c>
      <c r="H18" s="475" t="s">
        <v>183</v>
      </c>
      <c r="I18" s="475" t="s">
        <v>3086</v>
      </c>
      <c r="J18" s="247" t="s">
        <v>97</v>
      </c>
      <c r="K18" s="247" t="s">
        <v>1903</v>
      </c>
      <c r="L18" s="247" t="s">
        <v>154</v>
      </c>
      <c r="M18" s="414"/>
      <c r="N18" s="414"/>
      <c r="O18" s="414"/>
      <c r="P18" s="420"/>
    </row>
    <row r="19" spans="1:16" s="331" customFormat="1">
      <c r="A19" s="474">
        <v>45901</v>
      </c>
      <c r="B19" s="339" t="s">
        <v>2990</v>
      </c>
      <c r="C19" s="339" t="s">
        <v>151</v>
      </c>
      <c r="D19" s="339" t="s">
        <v>2468</v>
      </c>
      <c r="E19" s="475">
        <v>10000</v>
      </c>
      <c r="F19" s="463">
        <f t="shared" si="0"/>
        <v>17.827155035636483</v>
      </c>
      <c r="G19" s="464">
        <v>560.94200000000001</v>
      </c>
      <c r="H19" s="475" t="s">
        <v>183</v>
      </c>
      <c r="I19" s="475" t="s">
        <v>3087</v>
      </c>
      <c r="J19" s="247" t="s">
        <v>97</v>
      </c>
      <c r="K19" s="247" t="s">
        <v>1903</v>
      </c>
      <c r="L19" s="247" t="s">
        <v>154</v>
      </c>
      <c r="M19" s="414"/>
      <c r="N19" s="414"/>
      <c r="O19" s="414"/>
      <c r="P19" s="420"/>
    </row>
    <row r="20" spans="1:16" s="424" customFormat="1">
      <c r="A20" s="471">
        <v>45901</v>
      </c>
      <c r="B20" s="247" t="s">
        <v>3871</v>
      </c>
      <c r="C20" s="247" t="s">
        <v>3109</v>
      </c>
      <c r="D20" s="339" t="s">
        <v>120</v>
      </c>
      <c r="E20" s="247">
        <v>15000</v>
      </c>
      <c r="F20" s="463">
        <f t="shared" si="0"/>
        <v>26.740732553454723</v>
      </c>
      <c r="G20" s="464">
        <v>560.94200000000001</v>
      </c>
      <c r="H20" s="247" t="s">
        <v>174</v>
      </c>
      <c r="I20" s="247" t="s">
        <v>3192</v>
      </c>
      <c r="J20" s="247" t="s">
        <v>97</v>
      </c>
      <c r="K20" s="247" t="s">
        <v>1903</v>
      </c>
      <c r="L20" s="247" t="s">
        <v>154</v>
      </c>
      <c r="M20" s="335"/>
      <c r="N20" s="335"/>
      <c r="O20" s="335"/>
      <c r="P20" s="423"/>
    </row>
    <row r="21" spans="1:16" s="331" customFormat="1">
      <c r="A21" s="476">
        <v>45901</v>
      </c>
      <c r="B21" s="339" t="s">
        <v>3110</v>
      </c>
      <c r="C21" s="339" t="s">
        <v>151</v>
      </c>
      <c r="D21" s="339" t="s">
        <v>120</v>
      </c>
      <c r="E21" s="469">
        <v>10000</v>
      </c>
      <c r="F21" s="463">
        <f t="shared" si="0"/>
        <v>17.827155035636483</v>
      </c>
      <c r="G21" s="464">
        <v>560.94200000000001</v>
      </c>
      <c r="H21" s="469" t="s">
        <v>174</v>
      </c>
      <c r="I21" s="469" t="s">
        <v>3193</v>
      </c>
      <c r="J21" s="247" t="s">
        <v>97</v>
      </c>
      <c r="K21" s="247" t="s">
        <v>1903</v>
      </c>
      <c r="L21" s="247" t="s">
        <v>154</v>
      </c>
      <c r="M21" s="335"/>
      <c r="N21" s="335"/>
      <c r="O21" s="335"/>
      <c r="P21" s="420"/>
    </row>
    <row r="22" spans="1:16" s="331" customFormat="1">
      <c r="A22" s="471">
        <v>45901</v>
      </c>
      <c r="B22" s="469" t="s">
        <v>3216</v>
      </c>
      <c r="C22" s="469" t="s">
        <v>151</v>
      </c>
      <c r="D22" s="469" t="s">
        <v>120</v>
      </c>
      <c r="E22" s="477">
        <v>10000</v>
      </c>
      <c r="F22" s="463">
        <f t="shared" si="0"/>
        <v>17.827155035636483</v>
      </c>
      <c r="G22" s="464">
        <v>560.94200000000001</v>
      </c>
      <c r="H22" s="247" t="s">
        <v>316</v>
      </c>
      <c r="I22" s="247" t="s">
        <v>3258</v>
      </c>
      <c r="J22" s="247" t="s">
        <v>97</v>
      </c>
      <c r="K22" s="247" t="s">
        <v>1903</v>
      </c>
      <c r="L22" s="247" t="s">
        <v>154</v>
      </c>
      <c r="M22" s="414"/>
      <c r="N22" s="414"/>
      <c r="O22" s="414"/>
      <c r="P22" s="420"/>
    </row>
    <row r="23" spans="1:16" s="331" customFormat="1">
      <c r="A23" s="476">
        <v>45901</v>
      </c>
      <c r="B23" s="469" t="s">
        <v>3275</v>
      </c>
      <c r="C23" s="469" t="s">
        <v>151</v>
      </c>
      <c r="D23" s="469" t="s">
        <v>120</v>
      </c>
      <c r="E23" s="472">
        <v>10000</v>
      </c>
      <c r="F23" s="463">
        <f t="shared" si="0"/>
        <v>17.827155035636483</v>
      </c>
      <c r="G23" s="464">
        <v>560.94200000000001</v>
      </c>
      <c r="H23" s="469" t="s">
        <v>322</v>
      </c>
      <c r="I23" s="469" t="s">
        <v>3298</v>
      </c>
      <c r="J23" s="247" t="s">
        <v>97</v>
      </c>
      <c r="K23" s="247" t="s">
        <v>1903</v>
      </c>
      <c r="L23" s="247" t="s">
        <v>154</v>
      </c>
      <c r="M23" s="335"/>
      <c r="N23" s="335"/>
      <c r="O23" s="335"/>
      <c r="P23" s="420"/>
    </row>
    <row r="24" spans="1:16" s="331" customFormat="1">
      <c r="A24" s="471">
        <v>45901</v>
      </c>
      <c r="B24" s="469" t="s">
        <v>3305</v>
      </c>
      <c r="C24" s="469" t="s">
        <v>151</v>
      </c>
      <c r="D24" s="469" t="s">
        <v>116</v>
      </c>
      <c r="E24" s="468">
        <v>7500</v>
      </c>
      <c r="F24" s="463">
        <f t="shared" si="0"/>
        <v>13.370366276727362</v>
      </c>
      <c r="G24" s="464">
        <v>560.94200000000001</v>
      </c>
      <c r="H24" s="247" t="s">
        <v>189</v>
      </c>
      <c r="I24" s="247" t="s">
        <v>3323</v>
      </c>
      <c r="J24" s="247" t="s">
        <v>97</v>
      </c>
      <c r="K24" s="247" t="s">
        <v>1903</v>
      </c>
      <c r="L24" s="247" t="s">
        <v>154</v>
      </c>
      <c r="M24" s="335"/>
      <c r="N24" s="335"/>
      <c r="O24" s="335"/>
      <c r="P24" s="420"/>
    </row>
    <row r="25" spans="1:16" s="331" customFormat="1">
      <c r="A25" s="471">
        <v>45901</v>
      </c>
      <c r="B25" s="469" t="s">
        <v>3333</v>
      </c>
      <c r="C25" s="247" t="s">
        <v>173</v>
      </c>
      <c r="D25" s="247" t="s">
        <v>116</v>
      </c>
      <c r="E25" s="468">
        <v>500</v>
      </c>
      <c r="F25" s="463">
        <f t="shared" si="0"/>
        <v>0.89135775178182408</v>
      </c>
      <c r="G25" s="464">
        <v>560.94200000000001</v>
      </c>
      <c r="H25" s="247" t="s">
        <v>192</v>
      </c>
      <c r="I25" s="469" t="s">
        <v>3360</v>
      </c>
      <c r="J25" s="247" t="s">
        <v>97</v>
      </c>
      <c r="K25" s="247" t="s">
        <v>1903</v>
      </c>
      <c r="L25" s="247" t="s">
        <v>154</v>
      </c>
      <c r="M25" s="335"/>
      <c r="N25" s="127"/>
      <c r="O25" s="127"/>
      <c r="P25" s="420"/>
    </row>
    <row r="26" spans="1:16" s="331" customFormat="1">
      <c r="A26" s="471">
        <v>45901</v>
      </c>
      <c r="B26" s="469" t="s">
        <v>3334</v>
      </c>
      <c r="C26" s="247" t="s">
        <v>173</v>
      </c>
      <c r="D26" s="247" t="s">
        <v>116</v>
      </c>
      <c r="E26" s="468">
        <v>500</v>
      </c>
      <c r="F26" s="463">
        <f t="shared" si="0"/>
        <v>0.89135775178182408</v>
      </c>
      <c r="G26" s="464">
        <v>560.94200000000001</v>
      </c>
      <c r="H26" s="247" t="s">
        <v>192</v>
      </c>
      <c r="I26" s="469" t="s">
        <v>3360</v>
      </c>
      <c r="J26" s="247" t="s">
        <v>97</v>
      </c>
      <c r="K26" s="247" t="s">
        <v>1903</v>
      </c>
      <c r="L26" s="247" t="s">
        <v>154</v>
      </c>
      <c r="M26" s="335"/>
      <c r="N26" s="127"/>
      <c r="O26" s="127"/>
      <c r="P26" s="420"/>
    </row>
    <row r="27" spans="1:16" s="331" customFormat="1">
      <c r="A27" s="471">
        <v>45901</v>
      </c>
      <c r="B27" s="469" t="s">
        <v>3336</v>
      </c>
      <c r="C27" s="469" t="s">
        <v>176</v>
      </c>
      <c r="D27" s="469" t="s">
        <v>116</v>
      </c>
      <c r="E27" s="470">
        <v>60000</v>
      </c>
      <c r="F27" s="463">
        <f t="shared" ref="F27:F29" si="1">E27/G27</f>
        <v>106.96293021381889</v>
      </c>
      <c r="G27" s="464">
        <v>560.94200000000001</v>
      </c>
      <c r="H27" s="247" t="s">
        <v>192</v>
      </c>
      <c r="I27" s="469" t="s">
        <v>3363</v>
      </c>
      <c r="J27" s="247" t="s">
        <v>97</v>
      </c>
      <c r="K27" s="247" t="s">
        <v>1903</v>
      </c>
      <c r="L27" s="247" t="s">
        <v>154</v>
      </c>
      <c r="M27" s="335"/>
      <c r="N27" s="127"/>
      <c r="O27" s="127"/>
      <c r="P27" s="420"/>
    </row>
    <row r="28" spans="1:16" s="331" customFormat="1">
      <c r="A28" s="471">
        <v>45901</v>
      </c>
      <c r="B28" s="469" t="s">
        <v>3337</v>
      </c>
      <c r="C28" s="469" t="s">
        <v>151</v>
      </c>
      <c r="D28" s="469" t="s">
        <v>116</v>
      </c>
      <c r="E28" s="470">
        <v>7500</v>
      </c>
      <c r="F28" s="463">
        <f t="shared" si="1"/>
        <v>13.370366276727362</v>
      </c>
      <c r="G28" s="464">
        <v>560.94200000000001</v>
      </c>
      <c r="H28" s="247" t="s">
        <v>192</v>
      </c>
      <c r="I28" s="469" t="s">
        <v>3364</v>
      </c>
      <c r="J28" s="247" t="s">
        <v>97</v>
      </c>
      <c r="K28" s="247" t="s">
        <v>1903</v>
      </c>
      <c r="L28" s="247" t="s">
        <v>154</v>
      </c>
      <c r="M28" s="335"/>
      <c r="N28" s="127"/>
      <c r="O28" s="127"/>
      <c r="P28" s="420"/>
    </row>
    <row r="29" spans="1:16" s="331" customFormat="1">
      <c r="A29" s="471">
        <v>45905</v>
      </c>
      <c r="B29" s="469" t="s">
        <v>3335</v>
      </c>
      <c r="C29" s="469" t="s">
        <v>173</v>
      </c>
      <c r="D29" s="469" t="s">
        <v>116</v>
      </c>
      <c r="E29" s="470">
        <v>37000</v>
      </c>
      <c r="F29" s="463">
        <f t="shared" si="1"/>
        <v>65.960473631854981</v>
      </c>
      <c r="G29" s="464">
        <v>560.94200000000001</v>
      </c>
      <c r="H29" s="247" t="s">
        <v>192</v>
      </c>
      <c r="I29" s="469" t="s">
        <v>3361</v>
      </c>
      <c r="J29" s="247" t="s">
        <v>97</v>
      </c>
      <c r="K29" s="247" t="s">
        <v>1903</v>
      </c>
      <c r="L29" s="247" t="s">
        <v>154</v>
      </c>
      <c r="M29" s="335"/>
      <c r="N29" s="127"/>
      <c r="O29" s="127"/>
      <c r="P29" s="420"/>
    </row>
    <row r="30" spans="1:16" s="331" customFormat="1">
      <c r="A30" s="461">
        <v>45901</v>
      </c>
      <c r="B30" s="469" t="s">
        <v>3374</v>
      </c>
      <c r="C30" s="359" t="s">
        <v>195</v>
      </c>
      <c r="D30" s="359" t="s">
        <v>116</v>
      </c>
      <c r="E30" s="472">
        <v>500</v>
      </c>
      <c r="F30" s="463">
        <f t="shared" ref="F30:F93" si="2">E30/G30</f>
        <v>0.89135775178182408</v>
      </c>
      <c r="G30" s="464">
        <v>560.94200000000001</v>
      </c>
      <c r="H30" s="360" t="s">
        <v>437</v>
      </c>
      <c r="I30" s="469" t="s">
        <v>3411</v>
      </c>
      <c r="J30" s="247" t="s">
        <v>97</v>
      </c>
      <c r="K30" s="247" t="s">
        <v>1903</v>
      </c>
      <c r="L30" s="247" t="s">
        <v>154</v>
      </c>
      <c r="M30" s="414"/>
      <c r="N30" s="76"/>
      <c r="O30" s="76"/>
      <c r="P30" s="420"/>
    </row>
    <row r="31" spans="1:16" s="331" customFormat="1">
      <c r="A31" s="461">
        <v>45901</v>
      </c>
      <c r="B31" s="469" t="s">
        <v>3375</v>
      </c>
      <c r="C31" s="359" t="s">
        <v>195</v>
      </c>
      <c r="D31" s="359" t="s">
        <v>116</v>
      </c>
      <c r="E31" s="472">
        <v>500</v>
      </c>
      <c r="F31" s="463">
        <f t="shared" si="2"/>
        <v>0.89135775178182408</v>
      </c>
      <c r="G31" s="464">
        <v>560.94200000000001</v>
      </c>
      <c r="H31" s="360" t="s">
        <v>437</v>
      </c>
      <c r="I31" s="469" t="s">
        <v>3411</v>
      </c>
      <c r="J31" s="247" t="s">
        <v>97</v>
      </c>
      <c r="K31" s="247" t="s">
        <v>1903</v>
      </c>
      <c r="L31" s="247" t="s">
        <v>154</v>
      </c>
      <c r="M31" s="414"/>
      <c r="N31" s="76"/>
      <c r="O31" s="76"/>
      <c r="P31" s="420"/>
    </row>
    <row r="32" spans="1:16" s="331" customFormat="1">
      <c r="A32" s="461">
        <v>45901</v>
      </c>
      <c r="B32" s="247" t="s">
        <v>3376</v>
      </c>
      <c r="C32" s="243" t="s">
        <v>151</v>
      </c>
      <c r="D32" s="243" t="s">
        <v>116</v>
      </c>
      <c r="E32" s="478">
        <v>10000</v>
      </c>
      <c r="F32" s="463">
        <f t="shared" si="2"/>
        <v>17.827155035636483</v>
      </c>
      <c r="G32" s="464">
        <v>560.94200000000001</v>
      </c>
      <c r="H32" s="360" t="s">
        <v>437</v>
      </c>
      <c r="I32" s="469" t="s">
        <v>3412</v>
      </c>
      <c r="J32" s="247" t="s">
        <v>97</v>
      </c>
      <c r="K32" s="247" t="s">
        <v>1903</v>
      </c>
      <c r="L32" s="247" t="s">
        <v>154</v>
      </c>
      <c r="M32" s="414"/>
      <c r="N32" s="76"/>
      <c r="O32" s="76"/>
      <c r="P32" s="420"/>
    </row>
    <row r="33" spans="1:16" s="331" customFormat="1">
      <c r="A33" s="461">
        <v>45901</v>
      </c>
      <c r="B33" s="469" t="s">
        <v>3377</v>
      </c>
      <c r="C33" s="359" t="s">
        <v>195</v>
      </c>
      <c r="D33" s="359" t="s">
        <v>116</v>
      </c>
      <c r="E33" s="472">
        <v>500</v>
      </c>
      <c r="F33" s="463">
        <f t="shared" si="2"/>
        <v>0.89135775178182408</v>
      </c>
      <c r="G33" s="464">
        <v>560.94200000000001</v>
      </c>
      <c r="H33" s="360" t="s">
        <v>437</v>
      </c>
      <c r="I33" s="469" t="s">
        <v>3411</v>
      </c>
      <c r="J33" s="247" t="s">
        <v>97</v>
      </c>
      <c r="K33" s="247" t="s">
        <v>1903</v>
      </c>
      <c r="L33" s="247" t="s">
        <v>154</v>
      </c>
      <c r="M33" s="414"/>
      <c r="N33" s="76"/>
      <c r="O33" s="76"/>
      <c r="P33" s="420"/>
    </row>
    <row r="34" spans="1:16" s="424" customFormat="1">
      <c r="A34" s="461">
        <v>45901</v>
      </c>
      <c r="B34" s="247" t="s">
        <v>3379</v>
      </c>
      <c r="C34" s="247" t="s">
        <v>176</v>
      </c>
      <c r="D34" s="247" t="s">
        <v>116</v>
      </c>
      <c r="E34" s="478">
        <v>120000</v>
      </c>
      <c r="F34" s="463">
        <f t="shared" si="2"/>
        <v>213.92586042763779</v>
      </c>
      <c r="G34" s="464">
        <v>560.94200000000001</v>
      </c>
      <c r="H34" s="360" t="s">
        <v>437</v>
      </c>
      <c r="I34" s="469" t="s">
        <v>3414</v>
      </c>
      <c r="J34" s="247" t="s">
        <v>97</v>
      </c>
      <c r="K34" s="247" t="s">
        <v>1903</v>
      </c>
      <c r="L34" s="247" t="s">
        <v>154</v>
      </c>
      <c r="M34" s="414"/>
      <c r="N34" s="76"/>
      <c r="O34" s="76"/>
      <c r="P34" s="423"/>
    </row>
    <row r="35" spans="1:16" s="331" customFormat="1">
      <c r="A35" s="461">
        <v>45902</v>
      </c>
      <c r="B35" s="469" t="s">
        <v>3380</v>
      </c>
      <c r="C35" s="359" t="s">
        <v>195</v>
      </c>
      <c r="D35" s="359" t="s">
        <v>116</v>
      </c>
      <c r="E35" s="472">
        <v>500</v>
      </c>
      <c r="F35" s="463">
        <f t="shared" si="2"/>
        <v>0.89135775178182408</v>
      </c>
      <c r="G35" s="464">
        <v>560.94200000000001</v>
      </c>
      <c r="H35" s="360" t="s">
        <v>437</v>
      </c>
      <c r="I35" s="469" t="s">
        <v>3411</v>
      </c>
      <c r="J35" s="247" t="s">
        <v>97</v>
      </c>
      <c r="K35" s="247" t="s">
        <v>1903</v>
      </c>
      <c r="L35" s="247" t="s">
        <v>154</v>
      </c>
      <c r="M35" s="414"/>
      <c r="N35" s="76"/>
      <c r="O35" s="76"/>
      <c r="P35" s="420"/>
    </row>
    <row r="36" spans="1:16" s="331" customFormat="1">
      <c r="A36" s="476">
        <v>45901</v>
      </c>
      <c r="B36" s="469" t="s">
        <v>3617</v>
      </c>
      <c r="C36" s="469" t="s">
        <v>173</v>
      </c>
      <c r="D36" s="469" t="s">
        <v>119</v>
      </c>
      <c r="E36" s="472">
        <v>37000</v>
      </c>
      <c r="F36" s="463">
        <f t="shared" si="2"/>
        <v>65.960473631854981</v>
      </c>
      <c r="G36" s="464">
        <v>560.94200000000001</v>
      </c>
      <c r="H36" s="469" t="s">
        <v>212</v>
      </c>
      <c r="I36" s="469" t="s">
        <v>3468</v>
      </c>
      <c r="J36" s="247" t="s">
        <v>97</v>
      </c>
      <c r="K36" s="247" t="s">
        <v>1903</v>
      </c>
      <c r="L36" s="247" t="s">
        <v>154</v>
      </c>
      <c r="M36" s="414"/>
      <c r="N36" s="76"/>
      <c r="O36" s="76"/>
      <c r="P36" s="420"/>
    </row>
    <row r="37" spans="1:16" s="331" customFormat="1">
      <c r="A37" s="476">
        <v>45901</v>
      </c>
      <c r="B37" s="469" t="s">
        <v>3618</v>
      </c>
      <c r="C37" s="469" t="s">
        <v>176</v>
      </c>
      <c r="D37" s="469" t="s">
        <v>119</v>
      </c>
      <c r="E37" s="472">
        <v>240000</v>
      </c>
      <c r="F37" s="463">
        <f t="shared" si="2"/>
        <v>427.85172085527557</v>
      </c>
      <c r="G37" s="464">
        <v>560.94200000000001</v>
      </c>
      <c r="H37" s="469" t="s">
        <v>212</v>
      </c>
      <c r="I37" s="469" t="s">
        <v>3469</v>
      </c>
      <c r="J37" s="247" t="s">
        <v>97</v>
      </c>
      <c r="K37" s="247" t="s">
        <v>1903</v>
      </c>
      <c r="L37" s="247" t="s">
        <v>154</v>
      </c>
      <c r="M37" s="414"/>
      <c r="N37" s="76"/>
      <c r="O37" s="76"/>
      <c r="P37" s="420"/>
    </row>
    <row r="38" spans="1:16" s="331" customFormat="1">
      <c r="A38" s="476">
        <v>45901</v>
      </c>
      <c r="B38" s="469" t="s">
        <v>2736</v>
      </c>
      <c r="C38" s="469" t="s">
        <v>173</v>
      </c>
      <c r="D38" s="469" t="s">
        <v>119</v>
      </c>
      <c r="E38" s="472">
        <v>500</v>
      </c>
      <c r="F38" s="463">
        <f t="shared" si="2"/>
        <v>0.89135775178182408</v>
      </c>
      <c r="G38" s="464">
        <v>560.94200000000001</v>
      </c>
      <c r="H38" s="469" t="s">
        <v>212</v>
      </c>
      <c r="I38" s="469" t="s">
        <v>3470</v>
      </c>
      <c r="J38" s="247" t="s">
        <v>97</v>
      </c>
      <c r="K38" s="247" t="s">
        <v>1903</v>
      </c>
      <c r="L38" s="247" t="s">
        <v>154</v>
      </c>
      <c r="M38" s="414"/>
      <c r="N38" s="76"/>
      <c r="O38" s="76"/>
      <c r="P38" s="420"/>
    </row>
    <row r="39" spans="1:16" s="422" customFormat="1">
      <c r="A39" s="476">
        <v>45901</v>
      </c>
      <c r="B39" s="247" t="s">
        <v>3429</v>
      </c>
      <c r="C39" s="243" t="s">
        <v>151</v>
      </c>
      <c r="D39" s="469" t="s">
        <v>119</v>
      </c>
      <c r="E39" s="472">
        <v>10000</v>
      </c>
      <c r="F39" s="463">
        <f t="shared" si="2"/>
        <v>17.827155035636483</v>
      </c>
      <c r="G39" s="464">
        <v>560.94200000000001</v>
      </c>
      <c r="H39" s="469" t="s">
        <v>212</v>
      </c>
      <c r="I39" s="469" t="s">
        <v>3471</v>
      </c>
      <c r="J39" s="247" t="s">
        <v>97</v>
      </c>
      <c r="K39" s="247" t="s">
        <v>1903</v>
      </c>
      <c r="L39" s="247" t="s">
        <v>154</v>
      </c>
      <c r="M39" s="414"/>
      <c r="N39" s="76"/>
      <c r="O39" s="76"/>
      <c r="P39" s="421"/>
    </row>
    <row r="40" spans="1:16" s="331" customFormat="1">
      <c r="A40" s="476">
        <v>45901</v>
      </c>
      <c r="B40" s="469" t="s">
        <v>3486</v>
      </c>
      <c r="C40" s="469" t="s">
        <v>151</v>
      </c>
      <c r="D40" s="469" t="s">
        <v>116</v>
      </c>
      <c r="E40" s="469">
        <v>7500</v>
      </c>
      <c r="F40" s="463">
        <f t="shared" si="2"/>
        <v>13.370366276727362</v>
      </c>
      <c r="G40" s="464">
        <v>560.94200000000001</v>
      </c>
      <c r="H40" s="469" t="s">
        <v>186</v>
      </c>
      <c r="I40" s="469" t="s">
        <v>3503</v>
      </c>
      <c r="J40" s="247" t="s">
        <v>97</v>
      </c>
      <c r="K40" s="247" t="s">
        <v>1903</v>
      </c>
      <c r="L40" s="247" t="s">
        <v>154</v>
      </c>
      <c r="M40" s="414"/>
      <c r="N40" s="76"/>
      <c r="O40" s="76"/>
      <c r="P40" s="420"/>
    </row>
    <row r="41" spans="1:16" s="331" customFormat="1">
      <c r="A41" s="476">
        <v>45902</v>
      </c>
      <c r="B41" s="359" t="s">
        <v>2104</v>
      </c>
      <c r="C41" s="462" t="s">
        <v>173</v>
      </c>
      <c r="D41" s="462" t="s">
        <v>118</v>
      </c>
      <c r="E41" s="359">
        <v>1000</v>
      </c>
      <c r="F41" s="463">
        <f t="shared" si="2"/>
        <v>1.7827155035636482</v>
      </c>
      <c r="G41" s="464">
        <v>560.94200000000001</v>
      </c>
      <c r="H41" s="465" t="s">
        <v>152</v>
      </c>
      <c r="I41" s="469" t="s">
        <v>2868</v>
      </c>
      <c r="J41" s="247" t="s">
        <v>97</v>
      </c>
      <c r="K41" s="247" t="s">
        <v>1903</v>
      </c>
      <c r="L41" s="247" t="s">
        <v>154</v>
      </c>
      <c r="M41" s="414"/>
      <c r="N41" s="414"/>
      <c r="O41" s="414"/>
      <c r="P41" s="420"/>
    </row>
    <row r="42" spans="1:16" s="331" customFormat="1">
      <c r="A42" s="476">
        <v>45902</v>
      </c>
      <c r="B42" s="359" t="s">
        <v>2110</v>
      </c>
      <c r="C42" s="462" t="s">
        <v>173</v>
      </c>
      <c r="D42" s="462" t="s">
        <v>118</v>
      </c>
      <c r="E42" s="359">
        <v>1000</v>
      </c>
      <c r="F42" s="463">
        <f t="shared" si="2"/>
        <v>1.7827155035636482</v>
      </c>
      <c r="G42" s="464">
        <v>560.94200000000001</v>
      </c>
      <c r="H42" s="465" t="s">
        <v>152</v>
      </c>
      <c r="I42" s="469" t="s">
        <v>2868</v>
      </c>
      <c r="J42" s="247" t="s">
        <v>97</v>
      </c>
      <c r="K42" s="247" t="s">
        <v>1903</v>
      </c>
      <c r="L42" s="247" t="s">
        <v>154</v>
      </c>
      <c r="M42" s="335"/>
      <c r="N42" s="335"/>
      <c r="O42" s="335"/>
      <c r="P42" s="420"/>
    </row>
    <row r="43" spans="1:16" s="331" customFormat="1">
      <c r="A43" s="476">
        <v>45902</v>
      </c>
      <c r="B43" s="359" t="s">
        <v>2101</v>
      </c>
      <c r="C43" s="462" t="s">
        <v>173</v>
      </c>
      <c r="D43" s="462" t="s">
        <v>118</v>
      </c>
      <c r="E43" s="359">
        <v>1000</v>
      </c>
      <c r="F43" s="463">
        <f t="shared" si="2"/>
        <v>1.7827155035636482</v>
      </c>
      <c r="G43" s="464">
        <v>560.94200000000001</v>
      </c>
      <c r="H43" s="465" t="s">
        <v>152</v>
      </c>
      <c r="I43" s="469" t="s">
        <v>2868</v>
      </c>
      <c r="J43" s="247" t="s">
        <v>97</v>
      </c>
      <c r="K43" s="247" t="s">
        <v>1903</v>
      </c>
      <c r="L43" s="247" t="s">
        <v>154</v>
      </c>
      <c r="M43" s="335"/>
      <c r="N43" s="335"/>
      <c r="O43" s="335"/>
      <c r="P43" s="420"/>
    </row>
    <row r="44" spans="1:16" s="331" customFormat="1">
      <c r="A44" s="471">
        <v>45902</v>
      </c>
      <c r="B44" s="247" t="s">
        <v>2159</v>
      </c>
      <c r="C44" s="469" t="s">
        <v>122</v>
      </c>
      <c r="D44" s="469" t="s">
        <v>116</v>
      </c>
      <c r="E44" s="468">
        <v>113500</v>
      </c>
      <c r="F44" s="463">
        <f t="shared" si="2"/>
        <v>202.33820965447407</v>
      </c>
      <c r="G44" s="464">
        <v>560.94200000000001</v>
      </c>
      <c r="H44" s="469" t="s">
        <v>583</v>
      </c>
      <c r="I44" s="247" t="s">
        <v>2975</v>
      </c>
      <c r="J44" s="247" t="s">
        <v>97</v>
      </c>
      <c r="K44" s="247" t="s">
        <v>1903</v>
      </c>
      <c r="L44" s="247" t="s">
        <v>154</v>
      </c>
      <c r="M44" s="414"/>
      <c r="N44" s="414"/>
      <c r="O44" s="414"/>
      <c r="P44" s="420"/>
    </row>
    <row r="45" spans="1:16" s="331" customFormat="1">
      <c r="A45" s="476">
        <v>45902</v>
      </c>
      <c r="B45" s="469" t="s">
        <v>3306</v>
      </c>
      <c r="C45" s="469" t="s">
        <v>173</v>
      </c>
      <c r="D45" s="469" t="s">
        <v>116</v>
      </c>
      <c r="E45" s="470">
        <v>500</v>
      </c>
      <c r="F45" s="463">
        <f t="shared" si="2"/>
        <v>0.89135775178182408</v>
      </c>
      <c r="G45" s="464">
        <v>560.94200000000001</v>
      </c>
      <c r="H45" s="469" t="s">
        <v>189</v>
      </c>
      <c r="I45" s="469" t="s">
        <v>3324</v>
      </c>
      <c r="J45" s="247" t="s">
        <v>97</v>
      </c>
      <c r="K45" s="247" t="s">
        <v>1903</v>
      </c>
      <c r="L45" s="247" t="s">
        <v>154</v>
      </c>
      <c r="M45" s="335"/>
      <c r="N45" s="335"/>
      <c r="O45" s="335"/>
      <c r="P45" s="420"/>
    </row>
    <row r="46" spans="1:16" s="422" customFormat="1">
      <c r="A46" s="476">
        <v>45902</v>
      </c>
      <c r="B46" s="469" t="s">
        <v>2603</v>
      </c>
      <c r="C46" s="469" t="s">
        <v>173</v>
      </c>
      <c r="D46" s="469" t="s">
        <v>116</v>
      </c>
      <c r="E46" s="470">
        <v>500</v>
      </c>
      <c r="F46" s="463">
        <f t="shared" si="2"/>
        <v>0.89135775178182408</v>
      </c>
      <c r="G46" s="464">
        <v>560.94200000000001</v>
      </c>
      <c r="H46" s="469" t="s">
        <v>189</v>
      </c>
      <c r="I46" s="469" t="s">
        <v>3324</v>
      </c>
      <c r="J46" s="247" t="s">
        <v>97</v>
      </c>
      <c r="K46" s="247" t="s">
        <v>1903</v>
      </c>
      <c r="L46" s="247" t="s">
        <v>154</v>
      </c>
      <c r="M46" s="335"/>
      <c r="N46" s="335"/>
      <c r="O46" s="335"/>
      <c r="P46" s="421"/>
    </row>
    <row r="47" spans="1:16" s="331" customFormat="1">
      <c r="A47" s="476">
        <v>45902</v>
      </c>
      <c r="B47" s="247" t="s">
        <v>3307</v>
      </c>
      <c r="C47" s="469" t="s">
        <v>181</v>
      </c>
      <c r="D47" s="469" t="s">
        <v>117</v>
      </c>
      <c r="E47" s="468">
        <v>7950</v>
      </c>
      <c r="F47" s="463">
        <f t="shared" si="2"/>
        <v>14.172588253331003</v>
      </c>
      <c r="G47" s="464">
        <v>560.94200000000001</v>
      </c>
      <c r="H47" s="469" t="s">
        <v>189</v>
      </c>
      <c r="I47" s="247" t="s">
        <v>3325</v>
      </c>
      <c r="J47" s="247" t="s">
        <v>97</v>
      </c>
      <c r="K47" s="247" t="s">
        <v>1903</v>
      </c>
      <c r="L47" s="247" t="s">
        <v>154</v>
      </c>
      <c r="M47" s="335"/>
      <c r="N47" s="335"/>
      <c r="O47" s="335"/>
      <c r="P47" s="420"/>
    </row>
    <row r="48" spans="1:16" s="331" customFormat="1">
      <c r="A48" s="471">
        <v>45902</v>
      </c>
      <c r="B48" s="469" t="s">
        <v>3338</v>
      </c>
      <c r="C48" s="469" t="s">
        <v>173</v>
      </c>
      <c r="D48" s="469" t="s">
        <v>116</v>
      </c>
      <c r="E48" s="470">
        <v>500</v>
      </c>
      <c r="F48" s="463">
        <f t="shared" si="2"/>
        <v>0.89135775178182408</v>
      </c>
      <c r="G48" s="464">
        <v>560.94200000000001</v>
      </c>
      <c r="H48" s="247" t="s">
        <v>192</v>
      </c>
      <c r="I48" s="469" t="s">
        <v>3360</v>
      </c>
      <c r="J48" s="247" t="s">
        <v>97</v>
      </c>
      <c r="K48" s="247" t="s">
        <v>1903</v>
      </c>
      <c r="L48" s="247" t="s">
        <v>154</v>
      </c>
      <c r="M48" s="335"/>
      <c r="N48" s="127"/>
      <c r="O48" s="127"/>
      <c r="P48" s="420"/>
    </row>
    <row r="49" spans="1:16" s="331" customFormat="1">
      <c r="A49" s="471">
        <v>45902</v>
      </c>
      <c r="B49" s="469" t="s">
        <v>3339</v>
      </c>
      <c r="C49" s="472" t="s">
        <v>173</v>
      </c>
      <c r="D49" s="469" t="s">
        <v>116</v>
      </c>
      <c r="E49" s="470">
        <v>500</v>
      </c>
      <c r="F49" s="463">
        <f t="shared" si="2"/>
        <v>0.89135775178182408</v>
      </c>
      <c r="G49" s="464">
        <v>560.94200000000001</v>
      </c>
      <c r="H49" s="247" t="s">
        <v>192</v>
      </c>
      <c r="I49" s="469" t="s">
        <v>3360</v>
      </c>
      <c r="J49" s="247" t="s">
        <v>97</v>
      </c>
      <c r="K49" s="247" t="s">
        <v>1903</v>
      </c>
      <c r="L49" s="247" t="s">
        <v>154</v>
      </c>
      <c r="M49" s="335"/>
      <c r="N49" s="127"/>
      <c r="O49" s="127"/>
      <c r="P49" s="420"/>
    </row>
    <row r="50" spans="1:16" s="331" customFormat="1">
      <c r="A50" s="461">
        <v>45902</v>
      </c>
      <c r="B50" s="469" t="s">
        <v>2696</v>
      </c>
      <c r="C50" s="359" t="s">
        <v>195</v>
      </c>
      <c r="D50" s="359" t="s">
        <v>116</v>
      </c>
      <c r="E50" s="472">
        <v>500</v>
      </c>
      <c r="F50" s="463">
        <f t="shared" si="2"/>
        <v>0.89135775178182408</v>
      </c>
      <c r="G50" s="464">
        <v>560.94200000000001</v>
      </c>
      <c r="H50" s="360" t="s">
        <v>437</v>
      </c>
      <c r="I50" s="469" t="s">
        <v>3411</v>
      </c>
      <c r="J50" s="247" t="s">
        <v>97</v>
      </c>
      <c r="K50" s="247" t="s">
        <v>1903</v>
      </c>
      <c r="L50" s="247" t="s">
        <v>154</v>
      </c>
      <c r="M50" s="414"/>
      <c r="N50" s="76"/>
      <c r="O50" s="76"/>
      <c r="P50" s="420"/>
    </row>
    <row r="51" spans="1:16" s="424" customFormat="1">
      <c r="A51" s="461">
        <v>45904</v>
      </c>
      <c r="B51" s="469" t="s">
        <v>3381</v>
      </c>
      <c r="C51" s="359" t="s">
        <v>195</v>
      </c>
      <c r="D51" s="359" t="s">
        <v>116</v>
      </c>
      <c r="E51" s="472">
        <v>500</v>
      </c>
      <c r="F51" s="463">
        <f t="shared" si="2"/>
        <v>0.93720185266062228</v>
      </c>
      <c r="G51" s="464">
        <v>533.50300000000004</v>
      </c>
      <c r="H51" s="360" t="s">
        <v>437</v>
      </c>
      <c r="I51" s="469" t="s">
        <v>3411</v>
      </c>
      <c r="J51" s="247" t="s">
        <v>97</v>
      </c>
      <c r="K51" s="247" t="s">
        <v>1133</v>
      </c>
      <c r="L51" s="247" t="s">
        <v>154</v>
      </c>
      <c r="M51" s="414"/>
      <c r="N51" s="76"/>
      <c r="O51" s="76"/>
      <c r="P51" s="423"/>
    </row>
    <row r="52" spans="1:16" s="331" customFormat="1">
      <c r="A52" s="476">
        <v>45902</v>
      </c>
      <c r="B52" s="469" t="s">
        <v>3619</v>
      </c>
      <c r="C52" s="469" t="s">
        <v>176</v>
      </c>
      <c r="D52" s="469" t="s">
        <v>119</v>
      </c>
      <c r="E52" s="472">
        <v>15000</v>
      </c>
      <c r="F52" s="463">
        <f t="shared" si="2"/>
        <v>26.740732553454723</v>
      </c>
      <c r="G52" s="464">
        <v>560.94200000000001</v>
      </c>
      <c r="H52" s="469" t="s">
        <v>212</v>
      </c>
      <c r="I52" s="469" t="s">
        <v>3472</v>
      </c>
      <c r="J52" s="247" t="s">
        <v>97</v>
      </c>
      <c r="K52" s="247" t="s">
        <v>1903</v>
      </c>
      <c r="L52" s="247" t="s">
        <v>154</v>
      </c>
      <c r="M52" s="414"/>
      <c r="N52" s="76"/>
      <c r="O52" s="76"/>
      <c r="P52" s="420"/>
    </row>
    <row r="53" spans="1:16" s="331" customFormat="1">
      <c r="A53" s="476">
        <v>45902</v>
      </c>
      <c r="B53" s="484" t="s">
        <v>3579</v>
      </c>
      <c r="C53" s="469" t="s">
        <v>126</v>
      </c>
      <c r="D53" s="469" t="s">
        <v>120</v>
      </c>
      <c r="E53" s="470">
        <v>450000</v>
      </c>
      <c r="F53" s="463">
        <f t="shared" si="2"/>
        <v>802.22197660364168</v>
      </c>
      <c r="G53" s="464">
        <v>560.94200000000001</v>
      </c>
      <c r="H53" s="469" t="s">
        <v>147</v>
      </c>
      <c r="I53" s="469" t="s">
        <v>3593</v>
      </c>
      <c r="J53" s="247" t="s">
        <v>97</v>
      </c>
      <c r="K53" s="247" t="s">
        <v>1903</v>
      </c>
      <c r="L53" s="247" t="s">
        <v>154</v>
      </c>
      <c r="M53" s="414"/>
      <c r="N53" s="76"/>
      <c r="O53" s="76"/>
      <c r="P53" s="420"/>
    </row>
    <row r="54" spans="1:16" s="422" customFormat="1">
      <c r="A54" s="476">
        <v>45902</v>
      </c>
      <c r="B54" s="484" t="s">
        <v>3580</v>
      </c>
      <c r="C54" s="469" t="s">
        <v>126</v>
      </c>
      <c r="D54" s="469" t="s">
        <v>120</v>
      </c>
      <c r="E54" s="470">
        <v>375000</v>
      </c>
      <c r="F54" s="463">
        <f t="shared" si="2"/>
        <v>668.51831383636807</v>
      </c>
      <c r="G54" s="464">
        <v>560.94200000000001</v>
      </c>
      <c r="H54" s="469" t="s">
        <v>147</v>
      </c>
      <c r="I54" s="469" t="s">
        <v>3594</v>
      </c>
      <c r="J54" s="247" t="s">
        <v>97</v>
      </c>
      <c r="K54" s="247" t="s">
        <v>1903</v>
      </c>
      <c r="L54" s="247" t="s">
        <v>154</v>
      </c>
      <c r="M54" s="414"/>
      <c r="N54" s="76"/>
      <c r="O54" s="76"/>
      <c r="P54" s="421"/>
    </row>
    <row r="55" spans="1:16" s="331" customFormat="1">
      <c r="A55" s="476">
        <v>45903</v>
      </c>
      <c r="B55" s="359" t="s">
        <v>2100</v>
      </c>
      <c r="C55" s="462" t="s">
        <v>173</v>
      </c>
      <c r="D55" s="462" t="s">
        <v>118</v>
      </c>
      <c r="E55" s="359">
        <v>1000</v>
      </c>
      <c r="F55" s="463">
        <f t="shared" si="2"/>
        <v>1.7827155035636482</v>
      </c>
      <c r="G55" s="464">
        <v>560.94200000000001</v>
      </c>
      <c r="H55" s="465" t="s">
        <v>152</v>
      </c>
      <c r="I55" s="469" t="s">
        <v>2868</v>
      </c>
      <c r="J55" s="247" t="s">
        <v>97</v>
      </c>
      <c r="K55" s="247" t="s">
        <v>1903</v>
      </c>
      <c r="L55" s="247" t="s">
        <v>154</v>
      </c>
      <c r="M55" s="414"/>
      <c r="N55" s="414"/>
      <c r="O55" s="414"/>
      <c r="P55" s="420"/>
    </row>
    <row r="56" spans="1:16" s="331" customFormat="1">
      <c r="A56" s="476">
        <v>45903</v>
      </c>
      <c r="B56" s="359" t="s">
        <v>2113</v>
      </c>
      <c r="C56" s="462" t="s">
        <v>173</v>
      </c>
      <c r="D56" s="462" t="s">
        <v>118</v>
      </c>
      <c r="E56" s="359">
        <v>1000</v>
      </c>
      <c r="F56" s="463">
        <f t="shared" si="2"/>
        <v>1.7827155035636482</v>
      </c>
      <c r="G56" s="464">
        <v>560.94200000000001</v>
      </c>
      <c r="H56" s="465" t="s">
        <v>152</v>
      </c>
      <c r="I56" s="469" t="s">
        <v>2868</v>
      </c>
      <c r="J56" s="247" t="s">
        <v>97</v>
      </c>
      <c r="K56" s="247" t="s">
        <v>1903</v>
      </c>
      <c r="L56" s="247" t="s">
        <v>154</v>
      </c>
      <c r="M56" s="335"/>
      <c r="N56" s="335"/>
      <c r="O56" s="335"/>
      <c r="P56" s="420"/>
    </row>
    <row r="57" spans="1:16" s="331" customFormat="1">
      <c r="A57" s="474">
        <v>45903</v>
      </c>
      <c r="B57" s="475" t="s">
        <v>2993</v>
      </c>
      <c r="C57" s="475" t="s">
        <v>173</v>
      </c>
      <c r="D57" s="475" t="s">
        <v>120</v>
      </c>
      <c r="E57" s="475">
        <v>9000</v>
      </c>
      <c r="F57" s="463">
        <f t="shared" si="2"/>
        <v>16.044439532072836</v>
      </c>
      <c r="G57" s="464">
        <v>560.94200000000001</v>
      </c>
      <c r="H57" s="475" t="s">
        <v>183</v>
      </c>
      <c r="I57" s="475" t="s">
        <v>3090</v>
      </c>
      <c r="J57" s="247" t="s">
        <v>97</v>
      </c>
      <c r="K57" s="247" t="s">
        <v>1903</v>
      </c>
      <c r="L57" s="247" t="s">
        <v>154</v>
      </c>
      <c r="M57" s="335"/>
      <c r="N57" s="335"/>
      <c r="O57" s="335"/>
      <c r="P57" s="420"/>
    </row>
    <row r="58" spans="1:16" s="331" customFormat="1">
      <c r="A58" s="474">
        <v>45903</v>
      </c>
      <c r="B58" s="475" t="s">
        <v>2994</v>
      </c>
      <c r="C58" s="475" t="s">
        <v>173</v>
      </c>
      <c r="D58" s="475" t="s">
        <v>120</v>
      </c>
      <c r="E58" s="475">
        <v>1000</v>
      </c>
      <c r="F58" s="463">
        <f t="shared" si="2"/>
        <v>1.7827155035636482</v>
      </c>
      <c r="G58" s="464">
        <v>560.94200000000001</v>
      </c>
      <c r="H58" s="475" t="s">
        <v>183</v>
      </c>
      <c r="I58" s="475" t="s">
        <v>3086</v>
      </c>
      <c r="J58" s="247" t="s">
        <v>97</v>
      </c>
      <c r="K58" s="247" t="s">
        <v>1903</v>
      </c>
      <c r="L58" s="247" t="s">
        <v>154</v>
      </c>
      <c r="M58" s="335"/>
      <c r="N58" s="335"/>
      <c r="O58" s="335"/>
      <c r="P58" s="420"/>
    </row>
    <row r="59" spans="1:16" s="331" customFormat="1">
      <c r="A59" s="474">
        <v>45903</v>
      </c>
      <c r="B59" s="475" t="s">
        <v>2995</v>
      </c>
      <c r="C59" s="475" t="s">
        <v>173</v>
      </c>
      <c r="D59" s="475" t="s">
        <v>120</v>
      </c>
      <c r="E59" s="475">
        <v>1500</v>
      </c>
      <c r="F59" s="463">
        <f t="shared" si="2"/>
        <v>2.6740732553454722</v>
      </c>
      <c r="G59" s="464">
        <v>560.94200000000001</v>
      </c>
      <c r="H59" s="475" t="s">
        <v>183</v>
      </c>
      <c r="I59" s="475" t="s">
        <v>3086</v>
      </c>
      <c r="J59" s="247" t="s">
        <v>97</v>
      </c>
      <c r="K59" s="247" t="s">
        <v>1903</v>
      </c>
      <c r="L59" s="247" t="s">
        <v>154</v>
      </c>
      <c r="M59" s="335"/>
      <c r="N59" s="335"/>
      <c r="O59" s="335"/>
      <c r="P59" s="420"/>
    </row>
    <row r="60" spans="1:16" s="331" customFormat="1">
      <c r="A60" s="476">
        <v>45903</v>
      </c>
      <c r="B60" s="469" t="s">
        <v>4042</v>
      </c>
      <c r="C60" s="469" t="s">
        <v>173</v>
      </c>
      <c r="D60" s="469" t="s">
        <v>120</v>
      </c>
      <c r="E60" s="469">
        <v>1000</v>
      </c>
      <c r="F60" s="463">
        <f t="shared" si="2"/>
        <v>1.7827155035636482</v>
      </c>
      <c r="G60" s="464">
        <v>560.94200000000001</v>
      </c>
      <c r="H60" s="469" t="s">
        <v>174</v>
      </c>
      <c r="I60" s="469" t="s">
        <v>3196</v>
      </c>
      <c r="J60" s="247" t="s">
        <v>97</v>
      </c>
      <c r="K60" s="247" t="s">
        <v>1903</v>
      </c>
      <c r="L60" s="247" t="s">
        <v>154</v>
      </c>
      <c r="M60" s="335"/>
      <c r="N60" s="335"/>
      <c r="O60" s="335"/>
    </row>
    <row r="61" spans="1:16" s="331" customFormat="1">
      <c r="A61" s="476">
        <v>45903</v>
      </c>
      <c r="B61" s="469" t="s">
        <v>3113</v>
      </c>
      <c r="C61" s="469" t="s">
        <v>173</v>
      </c>
      <c r="D61" s="469" t="s">
        <v>120</v>
      </c>
      <c r="E61" s="469">
        <v>1000</v>
      </c>
      <c r="F61" s="463">
        <f t="shared" si="2"/>
        <v>1.7827155035636482</v>
      </c>
      <c r="G61" s="464">
        <v>560.94200000000001</v>
      </c>
      <c r="H61" s="469" t="s">
        <v>174</v>
      </c>
      <c r="I61" s="469" t="s">
        <v>3196</v>
      </c>
      <c r="J61" s="247" t="s">
        <v>97</v>
      </c>
      <c r="K61" s="247" t="s">
        <v>1903</v>
      </c>
      <c r="L61" s="247" t="s">
        <v>154</v>
      </c>
      <c r="M61" s="335"/>
      <c r="N61" s="335"/>
      <c r="O61" s="335"/>
    </row>
    <row r="62" spans="1:16" s="331" customFormat="1">
      <c r="A62" s="476">
        <v>45903</v>
      </c>
      <c r="B62" s="469" t="s">
        <v>3872</v>
      </c>
      <c r="C62" s="469" t="s">
        <v>173</v>
      </c>
      <c r="D62" s="469" t="s">
        <v>120</v>
      </c>
      <c r="E62" s="469">
        <v>9000</v>
      </c>
      <c r="F62" s="463">
        <f t="shared" si="2"/>
        <v>16.044439532072836</v>
      </c>
      <c r="G62" s="464">
        <v>560.94200000000001</v>
      </c>
      <c r="H62" s="469" t="s">
        <v>174</v>
      </c>
      <c r="I62" s="469" t="s">
        <v>3197</v>
      </c>
      <c r="J62" s="247" t="s">
        <v>97</v>
      </c>
      <c r="K62" s="247" t="s">
        <v>1903</v>
      </c>
      <c r="L62" s="247" t="s">
        <v>154</v>
      </c>
      <c r="M62" s="414"/>
      <c r="N62" s="414"/>
      <c r="O62" s="414"/>
    </row>
    <row r="63" spans="1:16" s="331" customFormat="1">
      <c r="A63" s="471">
        <v>45903</v>
      </c>
      <c r="B63" s="469" t="s">
        <v>3114</v>
      </c>
      <c r="C63" s="469" t="s">
        <v>307</v>
      </c>
      <c r="D63" s="469" t="s">
        <v>120</v>
      </c>
      <c r="E63" s="468">
        <v>10000</v>
      </c>
      <c r="F63" s="463">
        <f t="shared" si="2"/>
        <v>17.827155035636483</v>
      </c>
      <c r="G63" s="464">
        <v>560.94200000000001</v>
      </c>
      <c r="H63" s="469" t="s">
        <v>174</v>
      </c>
      <c r="I63" s="247" t="s">
        <v>3198</v>
      </c>
      <c r="J63" s="247" t="s">
        <v>97</v>
      </c>
      <c r="K63" s="247" t="s">
        <v>1903</v>
      </c>
      <c r="L63" s="247" t="s">
        <v>154</v>
      </c>
      <c r="M63" s="414"/>
      <c r="N63" s="414"/>
      <c r="O63" s="414"/>
    </row>
    <row r="64" spans="1:16" s="331" customFormat="1">
      <c r="A64" s="476">
        <v>45903</v>
      </c>
      <c r="B64" s="469" t="s">
        <v>4043</v>
      </c>
      <c r="C64" s="469" t="s">
        <v>173</v>
      </c>
      <c r="D64" s="469" t="s">
        <v>120</v>
      </c>
      <c r="E64" s="469">
        <v>1000</v>
      </c>
      <c r="F64" s="463">
        <f t="shared" si="2"/>
        <v>1.7827155035636482</v>
      </c>
      <c r="G64" s="464">
        <v>560.94200000000001</v>
      </c>
      <c r="H64" s="469" t="s">
        <v>316</v>
      </c>
      <c r="I64" s="469" t="s">
        <v>3260</v>
      </c>
      <c r="J64" s="247" t="s">
        <v>97</v>
      </c>
      <c r="K64" s="247" t="s">
        <v>1903</v>
      </c>
      <c r="L64" s="247" t="s">
        <v>154</v>
      </c>
      <c r="M64" s="414"/>
      <c r="N64" s="414"/>
      <c r="O64" s="414"/>
    </row>
    <row r="65" spans="1:15" s="331" customFormat="1">
      <c r="A65" s="476">
        <v>45903</v>
      </c>
      <c r="B65" s="469" t="s">
        <v>3689</v>
      </c>
      <c r="C65" s="469" t="s">
        <v>173</v>
      </c>
      <c r="D65" s="469" t="s">
        <v>120</v>
      </c>
      <c r="E65" s="469">
        <v>7000</v>
      </c>
      <c r="F65" s="463">
        <f t="shared" si="2"/>
        <v>12.479008524945538</v>
      </c>
      <c r="G65" s="464">
        <v>560.94200000000001</v>
      </c>
      <c r="H65" s="469" t="s">
        <v>316</v>
      </c>
      <c r="I65" s="247" t="s">
        <v>3261</v>
      </c>
      <c r="J65" s="247" t="s">
        <v>97</v>
      </c>
      <c r="K65" s="247" t="s">
        <v>1903</v>
      </c>
      <c r="L65" s="247" t="s">
        <v>154</v>
      </c>
      <c r="M65" s="414"/>
      <c r="N65" s="414"/>
      <c r="O65" s="414"/>
    </row>
    <row r="66" spans="1:15" s="422" customFormat="1">
      <c r="A66" s="476">
        <v>45903</v>
      </c>
      <c r="B66" s="469" t="s">
        <v>3218</v>
      </c>
      <c r="C66" s="469" t="s">
        <v>173</v>
      </c>
      <c r="D66" s="469" t="s">
        <v>120</v>
      </c>
      <c r="E66" s="469">
        <v>2000</v>
      </c>
      <c r="F66" s="463">
        <f t="shared" si="2"/>
        <v>3.5654310071272963</v>
      </c>
      <c r="G66" s="464">
        <v>560.94200000000001</v>
      </c>
      <c r="H66" s="469" t="s">
        <v>316</v>
      </c>
      <c r="I66" s="469" t="s">
        <v>3260</v>
      </c>
      <c r="J66" s="247" t="s">
        <v>97</v>
      </c>
      <c r="K66" s="247" t="s">
        <v>1903</v>
      </c>
      <c r="L66" s="247" t="s">
        <v>154</v>
      </c>
      <c r="M66" s="414"/>
      <c r="N66" s="414"/>
      <c r="O66" s="414"/>
    </row>
    <row r="67" spans="1:15" s="331" customFormat="1">
      <c r="A67" s="476">
        <v>45903</v>
      </c>
      <c r="B67" s="469" t="s">
        <v>3620</v>
      </c>
      <c r="C67" s="469" t="s">
        <v>176</v>
      </c>
      <c r="D67" s="469" t="s">
        <v>119</v>
      </c>
      <c r="E67" s="472">
        <v>15000</v>
      </c>
      <c r="F67" s="463">
        <f t="shared" si="2"/>
        <v>26.740732553454723</v>
      </c>
      <c r="G67" s="464">
        <v>560.94200000000001</v>
      </c>
      <c r="H67" s="469" t="s">
        <v>212</v>
      </c>
      <c r="I67" s="469" t="s">
        <v>3473</v>
      </c>
      <c r="J67" s="247" t="s">
        <v>97</v>
      </c>
      <c r="K67" s="247" t="s">
        <v>1903</v>
      </c>
      <c r="L67" s="247" t="s">
        <v>154</v>
      </c>
      <c r="M67" s="414"/>
      <c r="N67" s="76"/>
      <c r="O67" s="76"/>
    </row>
    <row r="68" spans="1:15" s="331" customFormat="1">
      <c r="A68" s="476">
        <v>45903</v>
      </c>
      <c r="B68" s="469" t="s">
        <v>3430</v>
      </c>
      <c r="C68" s="469" t="s">
        <v>173</v>
      </c>
      <c r="D68" s="469" t="s">
        <v>119</v>
      </c>
      <c r="E68" s="472">
        <v>3000</v>
      </c>
      <c r="F68" s="463">
        <f t="shared" si="2"/>
        <v>5.3481465106909445</v>
      </c>
      <c r="G68" s="464">
        <v>560.94200000000001</v>
      </c>
      <c r="H68" s="469" t="s">
        <v>212</v>
      </c>
      <c r="I68" s="469" t="s">
        <v>3470</v>
      </c>
      <c r="J68" s="247" t="s">
        <v>97</v>
      </c>
      <c r="K68" s="247" t="s">
        <v>1903</v>
      </c>
      <c r="L68" s="247" t="s">
        <v>154</v>
      </c>
      <c r="M68" s="414"/>
      <c r="N68" s="76"/>
      <c r="O68" s="76"/>
    </row>
    <row r="69" spans="1:15" s="331" customFormat="1">
      <c r="A69" s="476">
        <v>45903</v>
      </c>
      <c r="B69" s="469" t="s">
        <v>3581</v>
      </c>
      <c r="C69" s="469" t="s">
        <v>303</v>
      </c>
      <c r="D69" s="486" t="s">
        <v>117</v>
      </c>
      <c r="E69" s="470">
        <v>260000</v>
      </c>
      <c r="F69" s="463">
        <f t="shared" si="2"/>
        <v>463.50603092654853</v>
      </c>
      <c r="G69" s="464">
        <v>560.94200000000001</v>
      </c>
      <c r="H69" s="469" t="s">
        <v>147</v>
      </c>
      <c r="I69" s="469" t="s">
        <v>3595</v>
      </c>
      <c r="J69" s="247" t="s">
        <v>97</v>
      </c>
      <c r="K69" s="247" t="s">
        <v>1903</v>
      </c>
      <c r="L69" s="247" t="s">
        <v>154</v>
      </c>
      <c r="M69" s="414"/>
      <c r="N69" s="76"/>
      <c r="O69" s="76"/>
    </row>
    <row r="70" spans="1:15" s="331" customFormat="1">
      <c r="A70" s="476">
        <v>45903</v>
      </c>
      <c r="B70" s="487" t="s">
        <v>2778</v>
      </c>
      <c r="C70" s="247" t="s">
        <v>125</v>
      </c>
      <c r="D70" s="486" t="s">
        <v>117</v>
      </c>
      <c r="E70" s="470">
        <v>500000</v>
      </c>
      <c r="F70" s="463">
        <f t="shared" si="2"/>
        <v>891.35775178182416</v>
      </c>
      <c r="G70" s="464">
        <v>560.94200000000001</v>
      </c>
      <c r="H70" s="247" t="s">
        <v>147</v>
      </c>
      <c r="I70" s="469" t="s">
        <v>3596</v>
      </c>
      <c r="J70" s="247" t="s">
        <v>97</v>
      </c>
      <c r="K70" s="247" t="s">
        <v>1903</v>
      </c>
      <c r="L70" s="247" t="s">
        <v>154</v>
      </c>
      <c r="M70" s="414"/>
      <c r="N70" s="76"/>
      <c r="O70" s="76"/>
    </row>
    <row r="71" spans="1:15" s="422" customFormat="1">
      <c r="A71" s="476">
        <v>45904</v>
      </c>
      <c r="B71" s="359" t="s">
        <v>2100</v>
      </c>
      <c r="C71" s="462" t="s">
        <v>173</v>
      </c>
      <c r="D71" s="462" t="s">
        <v>118</v>
      </c>
      <c r="E71" s="359">
        <v>1000</v>
      </c>
      <c r="F71" s="463">
        <f t="shared" si="2"/>
        <v>1.8744037053212446</v>
      </c>
      <c r="G71" s="464">
        <v>533.50300000000004</v>
      </c>
      <c r="H71" s="465" t="s">
        <v>152</v>
      </c>
      <c r="I71" s="469" t="s">
        <v>2868</v>
      </c>
      <c r="J71" s="247" t="s">
        <v>97</v>
      </c>
      <c r="K71" s="247" t="s">
        <v>1133</v>
      </c>
      <c r="L71" s="247" t="s">
        <v>154</v>
      </c>
      <c r="M71" s="335"/>
      <c r="N71" s="335"/>
      <c r="O71" s="335"/>
    </row>
    <row r="72" spans="1:15" s="331" customFormat="1">
      <c r="A72" s="476">
        <v>45904</v>
      </c>
      <c r="B72" s="359" t="s">
        <v>2101</v>
      </c>
      <c r="C72" s="462" t="s">
        <v>173</v>
      </c>
      <c r="D72" s="462" t="s">
        <v>118</v>
      </c>
      <c r="E72" s="359">
        <v>1000</v>
      </c>
      <c r="F72" s="463">
        <f t="shared" si="2"/>
        <v>1.8744037053212446</v>
      </c>
      <c r="G72" s="464">
        <v>533.50300000000004</v>
      </c>
      <c r="H72" s="465" t="s">
        <v>152</v>
      </c>
      <c r="I72" s="469" t="s">
        <v>2868</v>
      </c>
      <c r="J72" s="247" t="s">
        <v>97</v>
      </c>
      <c r="K72" s="247" t="s">
        <v>1133</v>
      </c>
      <c r="L72" s="247" t="s">
        <v>154</v>
      </c>
      <c r="M72" s="335"/>
      <c r="N72" s="335"/>
      <c r="O72" s="335"/>
    </row>
    <row r="73" spans="1:15" s="331" customFormat="1">
      <c r="A73" s="474">
        <v>45904</v>
      </c>
      <c r="B73" s="475" t="s">
        <v>3761</v>
      </c>
      <c r="C73" s="475" t="s">
        <v>176</v>
      </c>
      <c r="D73" s="475" t="s">
        <v>120</v>
      </c>
      <c r="E73" s="475">
        <v>310000</v>
      </c>
      <c r="F73" s="463">
        <f t="shared" si="2"/>
        <v>581.06514864958581</v>
      </c>
      <c r="G73" s="464">
        <v>533.50300000000004</v>
      </c>
      <c r="H73" s="475" t="s">
        <v>183</v>
      </c>
      <c r="I73" s="475" t="s">
        <v>3091</v>
      </c>
      <c r="J73" s="247" t="s">
        <v>97</v>
      </c>
      <c r="K73" s="247" t="s">
        <v>1133</v>
      </c>
      <c r="L73" s="247" t="s">
        <v>154</v>
      </c>
      <c r="M73" s="335"/>
      <c r="N73" s="335"/>
      <c r="O73" s="335"/>
    </row>
    <row r="74" spans="1:15" s="331" customFormat="1">
      <c r="A74" s="474">
        <v>45904</v>
      </c>
      <c r="B74" s="475" t="s">
        <v>2466</v>
      </c>
      <c r="C74" s="475" t="s">
        <v>173</v>
      </c>
      <c r="D74" s="475" t="s">
        <v>120</v>
      </c>
      <c r="E74" s="475">
        <v>1000</v>
      </c>
      <c r="F74" s="463">
        <f t="shared" si="2"/>
        <v>1.8744037053212446</v>
      </c>
      <c r="G74" s="464">
        <v>533.50300000000004</v>
      </c>
      <c r="H74" s="475" t="s">
        <v>183</v>
      </c>
      <c r="I74" s="475" t="s">
        <v>3086</v>
      </c>
      <c r="J74" s="247" t="s">
        <v>97</v>
      </c>
      <c r="K74" s="247" t="s">
        <v>1133</v>
      </c>
      <c r="L74" s="247" t="s">
        <v>154</v>
      </c>
      <c r="M74" s="335"/>
      <c r="N74" s="335"/>
      <c r="O74" s="335"/>
    </row>
    <row r="75" spans="1:15" s="331" customFormat="1">
      <c r="A75" s="474">
        <v>45904</v>
      </c>
      <c r="B75" s="475" t="s">
        <v>3784</v>
      </c>
      <c r="C75" s="475" t="s">
        <v>173</v>
      </c>
      <c r="D75" s="475" t="s">
        <v>120</v>
      </c>
      <c r="E75" s="475">
        <v>1000</v>
      </c>
      <c r="F75" s="463">
        <f t="shared" si="2"/>
        <v>1.8744037053212446</v>
      </c>
      <c r="G75" s="464">
        <v>533.50300000000004</v>
      </c>
      <c r="H75" s="475" t="s">
        <v>183</v>
      </c>
      <c r="I75" s="475" t="s">
        <v>3086</v>
      </c>
      <c r="J75" s="247" t="s">
        <v>97</v>
      </c>
      <c r="K75" s="247" t="s">
        <v>1133</v>
      </c>
      <c r="L75" s="247" t="s">
        <v>154</v>
      </c>
      <c r="M75" s="335"/>
      <c r="N75" s="335"/>
      <c r="O75" s="335"/>
    </row>
    <row r="76" spans="1:15" s="331" customFormat="1">
      <c r="A76" s="474">
        <v>45904</v>
      </c>
      <c r="B76" s="475" t="s">
        <v>2996</v>
      </c>
      <c r="C76" s="475" t="s">
        <v>173</v>
      </c>
      <c r="D76" s="475" t="s">
        <v>120</v>
      </c>
      <c r="E76" s="475">
        <v>1000</v>
      </c>
      <c r="F76" s="463">
        <f t="shared" si="2"/>
        <v>1.8744037053212446</v>
      </c>
      <c r="G76" s="464">
        <v>533.50300000000004</v>
      </c>
      <c r="H76" s="475" t="s">
        <v>183</v>
      </c>
      <c r="I76" s="475" t="s">
        <v>3086</v>
      </c>
      <c r="J76" s="247" t="s">
        <v>97</v>
      </c>
      <c r="K76" s="247" t="s">
        <v>1133</v>
      </c>
      <c r="L76" s="247" t="s">
        <v>154</v>
      </c>
      <c r="M76" s="335"/>
      <c r="N76" s="335"/>
      <c r="O76" s="335"/>
    </row>
    <row r="77" spans="1:15" s="331" customFormat="1">
      <c r="A77" s="474">
        <v>45904</v>
      </c>
      <c r="B77" s="475" t="s">
        <v>2997</v>
      </c>
      <c r="C77" s="475" t="s">
        <v>173</v>
      </c>
      <c r="D77" s="475" t="s">
        <v>120</v>
      </c>
      <c r="E77" s="475">
        <v>1000</v>
      </c>
      <c r="F77" s="463">
        <f t="shared" si="2"/>
        <v>1.8744037053212446</v>
      </c>
      <c r="G77" s="464">
        <v>533.50300000000004</v>
      </c>
      <c r="H77" s="475" t="s">
        <v>183</v>
      </c>
      <c r="I77" s="475" t="s">
        <v>3086</v>
      </c>
      <c r="J77" s="247" t="s">
        <v>97</v>
      </c>
      <c r="K77" s="247" t="s">
        <v>1133</v>
      </c>
      <c r="L77" s="247" t="s">
        <v>154</v>
      </c>
      <c r="M77" s="335"/>
      <c r="N77" s="335"/>
      <c r="O77" s="335"/>
    </row>
    <row r="78" spans="1:15" s="331" customFormat="1">
      <c r="A78" s="476">
        <v>45904</v>
      </c>
      <c r="B78" s="469" t="s">
        <v>3909</v>
      </c>
      <c r="C78" s="469" t="s">
        <v>2391</v>
      </c>
      <c r="D78" s="469" t="s">
        <v>120</v>
      </c>
      <c r="E78" s="469">
        <v>310000</v>
      </c>
      <c r="F78" s="463">
        <f t="shared" si="2"/>
        <v>581.06514864958581</v>
      </c>
      <c r="G78" s="464">
        <v>533.50300000000004</v>
      </c>
      <c r="H78" s="469" t="s">
        <v>174</v>
      </c>
      <c r="I78" s="469" t="s">
        <v>3199</v>
      </c>
      <c r="J78" s="247" t="s">
        <v>97</v>
      </c>
      <c r="K78" s="247" t="s">
        <v>1133</v>
      </c>
      <c r="L78" s="247" t="s">
        <v>154</v>
      </c>
      <c r="M78" s="414"/>
      <c r="N78" s="414"/>
      <c r="O78" s="414"/>
    </row>
    <row r="79" spans="1:15" s="331" customFormat="1">
      <c r="A79" s="476">
        <v>45904</v>
      </c>
      <c r="B79" s="469" t="s">
        <v>3115</v>
      </c>
      <c r="C79" s="469" t="s">
        <v>173</v>
      </c>
      <c r="D79" s="469" t="s">
        <v>120</v>
      </c>
      <c r="E79" s="469">
        <v>1000</v>
      </c>
      <c r="F79" s="463">
        <f t="shared" si="2"/>
        <v>1.8744037053212446</v>
      </c>
      <c r="G79" s="464">
        <v>533.50300000000004</v>
      </c>
      <c r="H79" s="469" t="s">
        <v>174</v>
      </c>
      <c r="I79" s="469" t="s">
        <v>3196</v>
      </c>
      <c r="J79" s="247" t="s">
        <v>97</v>
      </c>
      <c r="K79" s="247" t="s">
        <v>1133</v>
      </c>
      <c r="L79" s="247" t="s">
        <v>154</v>
      </c>
      <c r="M79" s="414"/>
      <c r="N79" s="414"/>
      <c r="O79" s="414"/>
    </row>
    <row r="80" spans="1:15" s="331" customFormat="1">
      <c r="A80" s="476">
        <v>45904</v>
      </c>
      <c r="B80" s="469" t="s">
        <v>3116</v>
      </c>
      <c r="C80" s="469" t="s">
        <v>173</v>
      </c>
      <c r="D80" s="469" t="s">
        <v>120</v>
      </c>
      <c r="E80" s="469">
        <v>1000</v>
      </c>
      <c r="F80" s="463">
        <f t="shared" si="2"/>
        <v>1.8744037053212446</v>
      </c>
      <c r="G80" s="464">
        <v>533.50300000000004</v>
      </c>
      <c r="H80" s="469" t="s">
        <v>174</v>
      </c>
      <c r="I80" s="469" t="s">
        <v>3196</v>
      </c>
      <c r="J80" s="247" t="s">
        <v>97</v>
      </c>
      <c r="K80" s="247" t="s">
        <v>1133</v>
      </c>
      <c r="L80" s="247" t="s">
        <v>154</v>
      </c>
      <c r="M80" s="414"/>
      <c r="N80" s="414"/>
      <c r="O80" s="414"/>
    </row>
    <row r="81" spans="1:15" s="331" customFormat="1">
      <c r="A81" s="476">
        <v>45904</v>
      </c>
      <c r="B81" s="469" t="s">
        <v>3701</v>
      </c>
      <c r="C81" s="469" t="s">
        <v>176</v>
      </c>
      <c r="D81" s="469" t="s">
        <v>120</v>
      </c>
      <c r="E81" s="469">
        <v>60000</v>
      </c>
      <c r="F81" s="463">
        <f t="shared" si="2"/>
        <v>112.46422231927467</v>
      </c>
      <c r="G81" s="464">
        <v>533.50300000000004</v>
      </c>
      <c r="H81" s="469" t="s">
        <v>316</v>
      </c>
      <c r="I81" s="469" t="s">
        <v>3262</v>
      </c>
      <c r="J81" s="247" t="s">
        <v>97</v>
      </c>
      <c r="K81" s="247" t="s">
        <v>1133</v>
      </c>
      <c r="L81" s="247" t="s">
        <v>154</v>
      </c>
      <c r="M81" s="414"/>
      <c r="N81" s="414"/>
      <c r="O81" s="414"/>
    </row>
    <row r="82" spans="1:15" s="331" customFormat="1">
      <c r="A82" s="476">
        <v>45904</v>
      </c>
      <c r="B82" s="469" t="s">
        <v>4044</v>
      </c>
      <c r="C82" s="469" t="s">
        <v>173</v>
      </c>
      <c r="D82" s="469" t="s">
        <v>120</v>
      </c>
      <c r="E82" s="469">
        <v>2500</v>
      </c>
      <c r="F82" s="463">
        <f t="shared" si="2"/>
        <v>4.6860092633031112</v>
      </c>
      <c r="G82" s="464">
        <v>533.50300000000004</v>
      </c>
      <c r="H82" s="469" t="s">
        <v>316</v>
      </c>
      <c r="I82" s="469" t="s">
        <v>3260</v>
      </c>
      <c r="J82" s="247" t="s">
        <v>97</v>
      </c>
      <c r="K82" s="247" t="s">
        <v>1133</v>
      </c>
      <c r="L82" s="247" t="s">
        <v>154</v>
      </c>
      <c r="M82" s="335"/>
      <c r="N82" s="335"/>
      <c r="O82" s="335"/>
    </row>
    <row r="83" spans="1:15" s="331" customFormat="1">
      <c r="A83" s="476">
        <v>45904</v>
      </c>
      <c r="B83" s="469" t="s">
        <v>4045</v>
      </c>
      <c r="C83" s="469" t="s">
        <v>173</v>
      </c>
      <c r="D83" s="469" t="s">
        <v>120</v>
      </c>
      <c r="E83" s="469">
        <v>600</v>
      </c>
      <c r="F83" s="463">
        <f t="shared" si="2"/>
        <v>1.1246422231927466</v>
      </c>
      <c r="G83" s="464">
        <v>533.50300000000004</v>
      </c>
      <c r="H83" s="469" t="s">
        <v>316</v>
      </c>
      <c r="I83" s="469" t="s">
        <v>3260</v>
      </c>
      <c r="J83" s="247" t="s">
        <v>97</v>
      </c>
      <c r="K83" s="247" t="s">
        <v>1133</v>
      </c>
      <c r="L83" s="247" t="s">
        <v>154</v>
      </c>
      <c r="M83" s="335"/>
      <c r="N83" s="335"/>
      <c r="O83" s="335"/>
    </row>
    <row r="84" spans="1:15" s="331" customFormat="1">
      <c r="A84" s="461">
        <v>45904</v>
      </c>
      <c r="B84" s="469" t="s">
        <v>3377</v>
      </c>
      <c r="C84" s="359" t="s">
        <v>195</v>
      </c>
      <c r="D84" s="359" t="s">
        <v>116</v>
      </c>
      <c r="E84" s="472">
        <v>500</v>
      </c>
      <c r="F84" s="463">
        <f t="shared" si="2"/>
        <v>0.93720185266062228</v>
      </c>
      <c r="G84" s="464">
        <v>533.50300000000004</v>
      </c>
      <c r="H84" s="360" t="s">
        <v>437</v>
      </c>
      <c r="I84" s="469" t="s">
        <v>3411</v>
      </c>
      <c r="J84" s="247" t="s">
        <v>97</v>
      </c>
      <c r="K84" s="247" t="s">
        <v>1133</v>
      </c>
      <c r="L84" s="247" t="s">
        <v>154</v>
      </c>
      <c r="M84" s="414"/>
      <c r="N84" s="76"/>
      <c r="O84" s="76"/>
    </row>
    <row r="85" spans="1:15" s="331" customFormat="1">
      <c r="A85" s="461">
        <v>45905</v>
      </c>
      <c r="B85" s="469" t="s">
        <v>3380</v>
      </c>
      <c r="C85" s="359" t="s">
        <v>195</v>
      </c>
      <c r="D85" s="359" t="s">
        <v>116</v>
      </c>
      <c r="E85" s="472">
        <v>500</v>
      </c>
      <c r="F85" s="463">
        <f t="shared" si="2"/>
        <v>0.93720185266062228</v>
      </c>
      <c r="G85" s="464">
        <v>533.50300000000004</v>
      </c>
      <c r="H85" s="360" t="s">
        <v>437</v>
      </c>
      <c r="I85" s="469" t="s">
        <v>3411</v>
      </c>
      <c r="J85" s="247" t="s">
        <v>97</v>
      </c>
      <c r="K85" s="247" t="s">
        <v>1133</v>
      </c>
      <c r="L85" s="247" t="s">
        <v>154</v>
      </c>
      <c r="M85" s="414"/>
      <c r="N85" s="76"/>
      <c r="O85" s="76"/>
    </row>
    <row r="86" spans="1:15" s="331" customFormat="1">
      <c r="A86" s="476">
        <v>45904</v>
      </c>
      <c r="B86" s="469" t="s">
        <v>2224</v>
      </c>
      <c r="C86" s="469" t="s">
        <v>173</v>
      </c>
      <c r="D86" s="469" t="s">
        <v>119</v>
      </c>
      <c r="E86" s="472">
        <v>1000</v>
      </c>
      <c r="F86" s="463">
        <f t="shared" si="2"/>
        <v>1.8744037053212446</v>
      </c>
      <c r="G86" s="464">
        <v>533.50300000000004</v>
      </c>
      <c r="H86" s="469" t="s">
        <v>212</v>
      </c>
      <c r="I86" s="469" t="s">
        <v>3470</v>
      </c>
      <c r="J86" s="247" t="s">
        <v>97</v>
      </c>
      <c r="K86" s="247" t="s">
        <v>1133</v>
      </c>
      <c r="L86" s="247" t="s">
        <v>154</v>
      </c>
      <c r="M86" s="414"/>
      <c r="N86" s="76"/>
      <c r="O86" s="76"/>
    </row>
    <row r="87" spans="1:15" s="331" customFormat="1">
      <c r="A87" s="476">
        <v>45904</v>
      </c>
      <c r="B87" s="469" t="s">
        <v>3432</v>
      </c>
      <c r="C87" s="469" t="s">
        <v>173</v>
      </c>
      <c r="D87" s="469" t="s">
        <v>119</v>
      </c>
      <c r="E87" s="472">
        <v>1000</v>
      </c>
      <c r="F87" s="463">
        <f t="shared" si="2"/>
        <v>1.8744037053212446</v>
      </c>
      <c r="G87" s="464">
        <v>533.50300000000004</v>
      </c>
      <c r="H87" s="469" t="s">
        <v>212</v>
      </c>
      <c r="I87" s="469" t="s">
        <v>3470</v>
      </c>
      <c r="J87" s="247" t="s">
        <v>97</v>
      </c>
      <c r="K87" s="247" t="s">
        <v>1133</v>
      </c>
      <c r="L87" s="247" t="s">
        <v>154</v>
      </c>
      <c r="M87" s="414"/>
      <c r="N87" s="76"/>
      <c r="O87" s="76"/>
    </row>
    <row r="88" spans="1:15" s="331" customFormat="1">
      <c r="A88" s="476">
        <v>45904</v>
      </c>
      <c r="B88" s="469" t="s">
        <v>3433</v>
      </c>
      <c r="C88" s="469" t="s">
        <v>173</v>
      </c>
      <c r="D88" s="469" t="s">
        <v>119</v>
      </c>
      <c r="E88" s="472">
        <v>1000</v>
      </c>
      <c r="F88" s="463">
        <f t="shared" si="2"/>
        <v>1.8744037053212446</v>
      </c>
      <c r="G88" s="464">
        <v>533.50300000000004</v>
      </c>
      <c r="H88" s="469" t="s">
        <v>212</v>
      </c>
      <c r="I88" s="469" t="s">
        <v>3470</v>
      </c>
      <c r="J88" s="247" t="s">
        <v>97</v>
      </c>
      <c r="K88" s="247" t="s">
        <v>1133</v>
      </c>
      <c r="L88" s="247" t="s">
        <v>154</v>
      </c>
      <c r="M88" s="414"/>
      <c r="N88" s="76"/>
      <c r="O88" s="76"/>
    </row>
    <row r="89" spans="1:15" s="331" customFormat="1">
      <c r="A89" s="476">
        <v>45904</v>
      </c>
      <c r="B89" s="469" t="s">
        <v>3434</v>
      </c>
      <c r="C89" s="469" t="s">
        <v>173</v>
      </c>
      <c r="D89" s="469" t="s">
        <v>119</v>
      </c>
      <c r="E89" s="472">
        <v>1000</v>
      </c>
      <c r="F89" s="463">
        <f t="shared" si="2"/>
        <v>1.8744037053212446</v>
      </c>
      <c r="G89" s="464">
        <v>533.50300000000004</v>
      </c>
      <c r="H89" s="469" t="s">
        <v>212</v>
      </c>
      <c r="I89" s="469" t="s">
        <v>3470</v>
      </c>
      <c r="J89" s="247" t="s">
        <v>97</v>
      </c>
      <c r="K89" s="247" t="s">
        <v>1133</v>
      </c>
      <c r="L89" s="247" t="s">
        <v>154</v>
      </c>
      <c r="M89" s="414"/>
      <c r="N89" s="76"/>
      <c r="O89" s="76"/>
    </row>
    <row r="90" spans="1:15" s="331" customFormat="1">
      <c r="A90" s="476">
        <v>45904</v>
      </c>
      <c r="B90" s="469" t="s">
        <v>2227</v>
      </c>
      <c r="C90" s="469" t="s">
        <v>173</v>
      </c>
      <c r="D90" s="469" t="s">
        <v>119</v>
      </c>
      <c r="E90" s="472">
        <v>1000</v>
      </c>
      <c r="F90" s="463">
        <f t="shared" si="2"/>
        <v>1.8744037053212446</v>
      </c>
      <c r="G90" s="464">
        <v>533.50300000000004</v>
      </c>
      <c r="H90" s="469" t="s">
        <v>212</v>
      </c>
      <c r="I90" s="469" t="s">
        <v>3470</v>
      </c>
      <c r="J90" s="247" t="s">
        <v>97</v>
      </c>
      <c r="K90" s="247" t="s">
        <v>1133</v>
      </c>
      <c r="L90" s="247" t="s">
        <v>154</v>
      </c>
      <c r="M90" s="414"/>
      <c r="N90" s="76"/>
      <c r="O90" s="76"/>
    </row>
    <row r="91" spans="1:15" s="331" customFormat="1">
      <c r="A91" s="476">
        <v>45904</v>
      </c>
      <c r="B91" s="469" t="s">
        <v>2228</v>
      </c>
      <c r="C91" s="469" t="s">
        <v>173</v>
      </c>
      <c r="D91" s="469" t="s">
        <v>119</v>
      </c>
      <c r="E91" s="472">
        <v>1000</v>
      </c>
      <c r="F91" s="463">
        <f t="shared" si="2"/>
        <v>1.8744037053212446</v>
      </c>
      <c r="G91" s="464">
        <v>533.50300000000004</v>
      </c>
      <c r="H91" s="469" t="s">
        <v>212</v>
      </c>
      <c r="I91" s="469" t="s">
        <v>3470</v>
      </c>
      <c r="J91" s="247" t="s">
        <v>97</v>
      </c>
      <c r="K91" s="247" t="s">
        <v>1133</v>
      </c>
      <c r="L91" s="247" t="s">
        <v>154</v>
      </c>
      <c r="M91" s="414"/>
      <c r="N91" s="76"/>
      <c r="O91" s="76"/>
    </row>
    <row r="92" spans="1:15" s="331" customFormat="1">
      <c r="A92" s="476">
        <v>45904</v>
      </c>
      <c r="B92" s="469" t="s">
        <v>3435</v>
      </c>
      <c r="C92" s="469" t="s">
        <v>173</v>
      </c>
      <c r="D92" s="469" t="s">
        <v>119</v>
      </c>
      <c r="E92" s="472">
        <v>1000</v>
      </c>
      <c r="F92" s="463">
        <f t="shared" si="2"/>
        <v>1.8744037053212446</v>
      </c>
      <c r="G92" s="464">
        <v>533.50300000000004</v>
      </c>
      <c r="H92" s="469" t="s">
        <v>212</v>
      </c>
      <c r="I92" s="469" t="s">
        <v>3470</v>
      </c>
      <c r="J92" s="247" t="s">
        <v>97</v>
      </c>
      <c r="K92" s="247" t="s">
        <v>1133</v>
      </c>
      <c r="L92" s="247" t="s">
        <v>154</v>
      </c>
      <c r="M92" s="414"/>
      <c r="N92" s="76"/>
      <c r="O92" s="76"/>
    </row>
    <row r="93" spans="1:15" s="331" customFormat="1">
      <c r="A93" s="476">
        <v>45904</v>
      </c>
      <c r="B93" s="247" t="s">
        <v>3436</v>
      </c>
      <c r="C93" s="247" t="s">
        <v>2089</v>
      </c>
      <c r="D93" s="469" t="s">
        <v>119</v>
      </c>
      <c r="E93" s="468">
        <v>6000</v>
      </c>
      <c r="F93" s="463">
        <f t="shared" si="2"/>
        <v>11.246422231927466</v>
      </c>
      <c r="G93" s="464">
        <v>533.50300000000004</v>
      </c>
      <c r="H93" s="469" t="s">
        <v>212</v>
      </c>
      <c r="I93" s="247" t="s">
        <v>3475</v>
      </c>
      <c r="J93" s="247" t="s">
        <v>97</v>
      </c>
      <c r="K93" s="247" t="s">
        <v>1133</v>
      </c>
      <c r="L93" s="247" t="s">
        <v>154</v>
      </c>
      <c r="M93" s="414"/>
      <c r="N93" s="76"/>
      <c r="O93" s="76"/>
    </row>
    <row r="94" spans="1:15" s="331" customFormat="1">
      <c r="A94" s="471">
        <v>45904</v>
      </c>
      <c r="B94" s="247" t="s">
        <v>3437</v>
      </c>
      <c r="C94" s="247" t="s">
        <v>2089</v>
      </c>
      <c r="D94" s="469" t="s">
        <v>119</v>
      </c>
      <c r="E94" s="468">
        <v>6000</v>
      </c>
      <c r="F94" s="463">
        <f t="shared" ref="F94:F157" si="3">E94/G94</f>
        <v>11.246422231927466</v>
      </c>
      <c r="G94" s="464">
        <v>533.50300000000004</v>
      </c>
      <c r="H94" s="469" t="s">
        <v>212</v>
      </c>
      <c r="I94" s="247" t="s">
        <v>3475</v>
      </c>
      <c r="J94" s="247" t="s">
        <v>97</v>
      </c>
      <c r="K94" s="247" t="s">
        <v>1133</v>
      </c>
      <c r="L94" s="247" t="s">
        <v>154</v>
      </c>
      <c r="M94" s="414"/>
      <c r="N94" s="76"/>
      <c r="O94" s="76"/>
    </row>
    <row r="95" spans="1:15" s="331" customFormat="1">
      <c r="A95" s="471">
        <v>45904</v>
      </c>
      <c r="B95" s="247" t="s">
        <v>3438</v>
      </c>
      <c r="C95" s="247" t="s">
        <v>2089</v>
      </c>
      <c r="D95" s="469" t="s">
        <v>119</v>
      </c>
      <c r="E95" s="468">
        <v>6000</v>
      </c>
      <c r="F95" s="463">
        <f t="shared" si="3"/>
        <v>11.246422231927466</v>
      </c>
      <c r="G95" s="464">
        <v>533.50300000000004</v>
      </c>
      <c r="H95" s="469" t="s">
        <v>212</v>
      </c>
      <c r="I95" s="247" t="s">
        <v>3475</v>
      </c>
      <c r="J95" s="247" t="s">
        <v>97</v>
      </c>
      <c r="K95" s="247" t="s">
        <v>1133</v>
      </c>
      <c r="L95" s="247" t="s">
        <v>154</v>
      </c>
      <c r="M95" s="414"/>
      <c r="N95" s="76"/>
      <c r="O95" s="76"/>
    </row>
    <row r="96" spans="1:15" s="331" customFormat="1">
      <c r="A96" s="471">
        <v>45904</v>
      </c>
      <c r="B96" s="247" t="s">
        <v>3439</v>
      </c>
      <c r="C96" s="247" t="s">
        <v>2089</v>
      </c>
      <c r="D96" s="469" t="s">
        <v>119</v>
      </c>
      <c r="E96" s="468">
        <v>6000</v>
      </c>
      <c r="F96" s="463">
        <f t="shared" si="3"/>
        <v>11.246422231927466</v>
      </c>
      <c r="G96" s="464">
        <v>533.50300000000004</v>
      </c>
      <c r="H96" s="469" t="s">
        <v>212</v>
      </c>
      <c r="I96" s="247" t="s">
        <v>3475</v>
      </c>
      <c r="J96" s="247" t="s">
        <v>97</v>
      </c>
      <c r="K96" s="247" t="s">
        <v>1133</v>
      </c>
      <c r="L96" s="247" t="s">
        <v>154</v>
      </c>
      <c r="M96" s="414"/>
      <c r="N96" s="76"/>
      <c r="O96" s="76"/>
    </row>
    <row r="97" spans="1:15" s="331" customFormat="1">
      <c r="A97" s="471">
        <v>45904</v>
      </c>
      <c r="B97" s="247" t="s">
        <v>3440</v>
      </c>
      <c r="C97" s="247" t="s">
        <v>2089</v>
      </c>
      <c r="D97" s="469" t="s">
        <v>119</v>
      </c>
      <c r="E97" s="468">
        <v>6000</v>
      </c>
      <c r="F97" s="463">
        <f t="shared" si="3"/>
        <v>11.246422231927466</v>
      </c>
      <c r="G97" s="464">
        <v>533.50300000000004</v>
      </c>
      <c r="H97" s="469" t="s">
        <v>212</v>
      </c>
      <c r="I97" s="247" t="s">
        <v>3475</v>
      </c>
      <c r="J97" s="247" t="s">
        <v>97</v>
      </c>
      <c r="K97" s="247" t="s">
        <v>1133</v>
      </c>
      <c r="L97" s="247" t="s">
        <v>154</v>
      </c>
      <c r="M97" s="414"/>
      <c r="N97" s="76"/>
      <c r="O97" s="76"/>
    </row>
    <row r="98" spans="1:15" s="331" customFormat="1">
      <c r="A98" s="471">
        <v>45904</v>
      </c>
      <c r="B98" s="247" t="s">
        <v>3441</v>
      </c>
      <c r="C98" s="247" t="s">
        <v>2089</v>
      </c>
      <c r="D98" s="469" t="s">
        <v>119</v>
      </c>
      <c r="E98" s="468">
        <v>6000</v>
      </c>
      <c r="F98" s="463">
        <f t="shared" si="3"/>
        <v>11.246422231927466</v>
      </c>
      <c r="G98" s="464">
        <v>533.50300000000004</v>
      </c>
      <c r="H98" s="469" t="s">
        <v>212</v>
      </c>
      <c r="I98" s="247" t="s">
        <v>3475</v>
      </c>
      <c r="J98" s="247" t="s">
        <v>97</v>
      </c>
      <c r="K98" s="247" t="s">
        <v>1133</v>
      </c>
      <c r="L98" s="247" t="s">
        <v>154</v>
      </c>
      <c r="M98" s="414"/>
      <c r="N98" s="76"/>
      <c r="O98" s="76"/>
    </row>
    <row r="99" spans="1:15" s="331" customFormat="1">
      <c r="A99" s="471">
        <v>45904</v>
      </c>
      <c r="B99" s="247" t="s">
        <v>3442</v>
      </c>
      <c r="C99" s="247" t="s">
        <v>2089</v>
      </c>
      <c r="D99" s="469" t="s">
        <v>119</v>
      </c>
      <c r="E99" s="468">
        <v>6000</v>
      </c>
      <c r="F99" s="463">
        <f t="shared" si="3"/>
        <v>11.246422231927466</v>
      </c>
      <c r="G99" s="464">
        <v>533.50300000000004</v>
      </c>
      <c r="H99" s="469" t="s">
        <v>212</v>
      </c>
      <c r="I99" s="247" t="s">
        <v>3475</v>
      </c>
      <c r="J99" s="247" t="s">
        <v>97</v>
      </c>
      <c r="K99" s="247" t="s">
        <v>1133</v>
      </c>
      <c r="L99" s="247" t="s">
        <v>154</v>
      </c>
      <c r="M99" s="414"/>
      <c r="N99" s="76"/>
      <c r="O99" s="76"/>
    </row>
    <row r="100" spans="1:15" s="331" customFormat="1">
      <c r="A100" s="471">
        <v>45904</v>
      </c>
      <c r="B100" s="247" t="s">
        <v>3443</v>
      </c>
      <c r="C100" s="247" t="s">
        <v>2089</v>
      </c>
      <c r="D100" s="469" t="s">
        <v>119</v>
      </c>
      <c r="E100" s="468">
        <v>6000</v>
      </c>
      <c r="F100" s="463">
        <f t="shared" si="3"/>
        <v>11.246422231927466</v>
      </c>
      <c r="G100" s="464">
        <v>533.50300000000004</v>
      </c>
      <c r="H100" s="469" t="s">
        <v>212</v>
      </c>
      <c r="I100" s="247" t="s">
        <v>3475</v>
      </c>
      <c r="J100" s="247" t="s">
        <v>97</v>
      </c>
      <c r="K100" s="247" t="s">
        <v>1133</v>
      </c>
      <c r="L100" s="247" t="s">
        <v>154</v>
      </c>
      <c r="M100" s="414"/>
      <c r="N100" s="76"/>
      <c r="O100" s="76"/>
    </row>
    <row r="101" spans="1:15" s="422" customFormat="1">
      <c r="A101" s="471">
        <v>45904</v>
      </c>
      <c r="B101" s="247" t="s">
        <v>3444</v>
      </c>
      <c r="C101" s="247" t="s">
        <v>2089</v>
      </c>
      <c r="D101" s="469" t="s">
        <v>119</v>
      </c>
      <c r="E101" s="468">
        <v>6000</v>
      </c>
      <c r="F101" s="463">
        <f t="shared" si="3"/>
        <v>11.246422231927466</v>
      </c>
      <c r="G101" s="464">
        <v>533.50300000000004</v>
      </c>
      <c r="H101" s="469" t="s">
        <v>212</v>
      </c>
      <c r="I101" s="247" t="s">
        <v>3475</v>
      </c>
      <c r="J101" s="247" t="s">
        <v>97</v>
      </c>
      <c r="K101" s="247" t="s">
        <v>1133</v>
      </c>
      <c r="L101" s="247" t="s">
        <v>154</v>
      </c>
      <c r="M101" s="414"/>
      <c r="N101" s="76"/>
      <c r="O101" s="76"/>
    </row>
    <row r="102" spans="1:15" s="331" customFormat="1">
      <c r="A102" s="471">
        <v>45904</v>
      </c>
      <c r="B102" s="247" t="s">
        <v>3445</v>
      </c>
      <c r="C102" s="247" t="s">
        <v>2089</v>
      </c>
      <c r="D102" s="469" t="s">
        <v>119</v>
      </c>
      <c r="E102" s="468">
        <v>6000</v>
      </c>
      <c r="F102" s="463">
        <f t="shared" si="3"/>
        <v>11.246422231927466</v>
      </c>
      <c r="G102" s="464">
        <v>533.50300000000004</v>
      </c>
      <c r="H102" s="469" t="s">
        <v>212</v>
      </c>
      <c r="I102" s="247" t="s">
        <v>3475</v>
      </c>
      <c r="J102" s="247" t="s">
        <v>97</v>
      </c>
      <c r="K102" s="247" t="s">
        <v>1133</v>
      </c>
      <c r="L102" s="247" t="s">
        <v>154</v>
      </c>
      <c r="M102" s="414"/>
      <c r="N102" s="76"/>
      <c r="O102" s="76"/>
    </row>
    <row r="103" spans="1:15" s="331" customFormat="1">
      <c r="A103" s="471">
        <v>45904</v>
      </c>
      <c r="B103" s="247" t="s">
        <v>3446</v>
      </c>
      <c r="C103" s="247" t="s">
        <v>2089</v>
      </c>
      <c r="D103" s="469" t="s">
        <v>119</v>
      </c>
      <c r="E103" s="468">
        <v>6000</v>
      </c>
      <c r="F103" s="463">
        <f t="shared" si="3"/>
        <v>11.246422231927466</v>
      </c>
      <c r="G103" s="464">
        <v>533.50300000000004</v>
      </c>
      <c r="H103" s="469" t="s">
        <v>212</v>
      </c>
      <c r="I103" s="247" t="s">
        <v>3475</v>
      </c>
      <c r="J103" s="247" t="s">
        <v>97</v>
      </c>
      <c r="K103" s="247" t="s">
        <v>1133</v>
      </c>
      <c r="L103" s="247" t="s">
        <v>154</v>
      </c>
      <c r="M103" s="414"/>
      <c r="N103" s="76"/>
      <c r="O103" s="76"/>
    </row>
    <row r="104" spans="1:15" s="331" customFormat="1">
      <c r="A104" s="471">
        <v>45904</v>
      </c>
      <c r="B104" s="247" t="s">
        <v>3447</v>
      </c>
      <c r="C104" s="247" t="s">
        <v>2089</v>
      </c>
      <c r="D104" s="469" t="s">
        <v>119</v>
      </c>
      <c r="E104" s="468">
        <v>6000</v>
      </c>
      <c r="F104" s="463">
        <f t="shared" si="3"/>
        <v>11.246422231927466</v>
      </c>
      <c r="G104" s="464">
        <v>533.50300000000004</v>
      </c>
      <c r="H104" s="469" t="s">
        <v>212</v>
      </c>
      <c r="I104" s="247" t="s">
        <v>3475</v>
      </c>
      <c r="J104" s="247" t="s">
        <v>97</v>
      </c>
      <c r="K104" s="247" t="s">
        <v>1133</v>
      </c>
      <c r="L104" s="247" t="s">
        <v>154</v>
      </c>
      <c r="M104" s="414"/>
      <c r="N104" s="76"/>
      <c r="O104" s="76"/>
    </row>
    <row r="105" spans="1:15" s="331" customFormat="1">
      <c r="A105" s="471">
        <v>45904</v>
      </c>
      <c r="B105" s="247" t="s">
        <v>3448</v>
      </c>
      <c r="C105" s="247" t="s">
        <v>2089</v>
      </c>
      <c r="D105" s="469" t="s">
        <v>119</v>
      </c>
      <c r="E105" s="468">
        <v>6000</v>
      </c>
      <c r="F105" s="463">
        <f t="shared" si="3"/>
        <v>11.246422231927466</v>
      </c>
      <c r="G105" s="464">
        <v>533.50300000000004</v>
      </c>
      <c r="H105" s="469" t="s">
        <v>212</v>
      </c>
      <c r="I105" s="247" t="s">
        <v>3475</v>
      </c>
      <c r="J105" s="247" t="s">
        <v>97</v>
      </c>
      <c r="K105" s="247" t="s">
        <v>1133</v>
      </c>
      <c r="L105" s="247" t="s">
        <v>154</v>
      </c>
      <c r="M105" s="414"/>
      <c r="N105" s="76"/>
      <c r="O105" s="76"/>
    </row>
    <row r="106" spans="1:15" s="331" customFormat="1">
      <c r="A106" s="471">
        <v>45904</v>
      </c>
      <c r="B106" s="247" t="s">
        <v>3449</v>
      </c>
      <c r="C106" s="247" t="s">
        <v>2089</v>
      </c>
      <c r="D106" s="469" t="s">
        <v>119</v>
      </c>
      <c r="E106" s="468">
        <v>6000</v>
      </c>
      <c r="F106" s="463">
        <f t="shared" si="3"/>
        <v>11.246422231927466</v>
      </c>
      <c r="G106" s="464">
        <v>533.50300000000004</v>
      </c>
      <c r="H106" s="469" t="s">
        <v>212</v>
      </c>
      <c r="I106" s="247" t="s">
        <v>3475</v>
      </c>
      <c r="J106" s="247" t="s">
        <v>97</v>
      </c>
      <c r="K106" s="247" t="s">
        <v>1133</v>
      </c>
      <c r="L106" s="247" t="s">
        <v>154</v>
      </c>
      <c r="M106" s="414"/>
      <c r="N106" s="76"/>
      <c r="O106" s="76"/>
    </row>
    <row r="107" spans="1:15" s="331" customFormat="1">
      <c r="A107" s="471">
        <v>45904</v>
      </c>
      <c r="B107" s="247" t="s">
        <v>3450</v>
      </c>
      <c r="C107" s="247" t="s">
        <v>2089</v>
      </c>
      <c r="D107" s="469" t="s">
        <v>119</v>
      </c>
      <c r="E107" s="468">
        <v>10000</v>
      </c>
      <c r="F107" s="463">
        <f t="shared" si="3"/>
        <v>18.744037053212445</v>
      </c>
      <c r="G107" s="464">
        <v>533.50300000000004</v>
      </c>
      <c r="H107" s="469" t="s">
        <v>212</v>
      </c>
      <c r="I107" s="247" t="s">
        <v>3476</v>
      </c>
      <c r="J107" s="247" t="s">
        <v>97</v>
      </c>
      <c r="K107" s="247" t="s">
        <v>1133</v>
      </c>
      <c r="L107" s="247" t="s">
        <v>154</v>
      </c>
      <c r="M107" s="414"/>
      <c r="N107" s="76"/>
      <c r="O107" s="76"/>
    </row>
    <row r="108" spans="1:15" s="331" customFormat="1">
      <c r="A108" s="471">
        <v>45904</v>
      </c>
      <c r="B108" s="247" t="s">
        <v>3451</v>
      </c>
      <c r="C108" s="247" t="s">
        <v>2089</v>
      </c>
      <c r="D108" s="469" t="s">
        <v>119</v>
      </c>
      <c r="E108" s="468">
        <v>10000</v>
      </c>
      <c r="F108" s="463">
        <f t="shared" si="3"/>
        <v>18.744037053212445</v>
      </c>
      <c r="G108" s="464">
        <v>533.50300000000004</v>
      </c>
      <c r="H108" s="469" t="s">
        <v>212</v>
      </c>
      <c r="I108" s="247" t="s">
        <v>3476</v>
      </c>
      <c r="J108" s="247" t="s">
        <v>97</v>
      </c>
      <c r="K108" s="247" t="s">
        <v>1133</v>
      </c>
      <c r="L108" s="247" t="s">
        <v>154</v>
      </c>
      <c r="M108" s="414"/>
      <c r="N108" s="76"/>
      <c r="O108" s="76"/>
    </row>
    <row r="109" spans="1:15" s="424" customFormat="1">
      <c r="A109" s="471">
        <v>45904</v>
      </c>
      <c r="B109" s="247" t="s">
        <v>3452</v>
      </c>
      <c r="C109" s="247" t="s">
        <v>2089</v>
      </c>
      <c r="D109" s="469" t="s">
        <v>119</v>
      </c>
      <c r="E109" s="468">
        <v>10000</v>
      </c>
      <c r="F109" s="463">
        <f t="shared" si="3"/>
        <v>18.744037053212445</v>
      </c>
      <c r="G109" s="464">
        <v>533.50300000000004</v>
      </c>
      <c r="H109" s="469" t="s">
        <v>212</v>
      </c>
      <c r="I109" s="247" t="s">
        <v>3476</v>
      </c>
      <c r="J109" s="247" t="s">
        <v>97</v>
      </c>
      <c r="K109" s="247" t="s">
        <v>1133</v>
      </c>
      <c r="L109" s="247" t="s">
        <v>154</v>
      </c>
      <c r="M109" s="414"/>
      <c r="N109" s="76"/>
      <c r="O109" s="76"/>
    </row>
    <row r="110" spans="1:15" s="331" customFormat="1">
      <c r="A110" s="471">
        <v>45904</v>
      </c>
      <c r="B110" s="247" t="s">
        <v>3453</v>
      </c>
      <c r="C110" s="247" t="s">
        <v>2089</v>
      </c>
      <c r="D110" s="469" t="s">
        <v>119</v>
      </c>
      <c r="E110" s="468">
        <v>10000</v>
      </c>
      <c r="F110" s="463">
        <f t="shared" si="3"/>
        <v>18.744037053212445</v>
      </c>
      <c r="G110" s="464">
        <v>533.50300000000004</v>
      </c>
      <c r="H110" s="469" t="s">
        <v>212</v>
      </c>
      <c r="I110" s="247" t="s">
        <v>3476</v>
      </c>
      <c r="J110" s="247" t="s">
        <v>97</v>
      </c>
      <c r="K110" s="247" t="s">
        <v>1133</v>
      </c>
      <c r="L110" s="247" t="s">
        <v>154</v>
      </c>
      <c r="M110" s="414"/>
      <c r="N110" s="76"/>
      <c r="O110" s="76"/>
    </row>
    <row r="111" spans="1:15" s="331" customFormat="1">
      <c r="A111" s="471">
        <v>45904</v>
      </c>
      <c r="B111" s="247" t="s">
        <v>3454</v>
      </c>
      <c r="C111" s="247" t="s">
        <v>2089</v>
      </c>
      <c r="D111" s="469" t="s">
        <v>119</v>
      </c>
      <c r="E111" s="468">
        <v>6000</v>
      </c>
      <c r="F111" s="463">
        <f t="shared" si="3"/>
        <v>11.246422231927466</v>
      </c>
      <c r="G111" s="464">
        <v>533.50300000000004</v>
      </c>
      <c r="H111" s="469" t="s">
        <v>212</v>
      </c>
      <c r="I111" s="247" t="s">
        <v>3477</v>
      </c>
      <c r="J111" s="247" t="s">
        <v>97</v>
      </c>
      <c r="K111" s="247" t="s">
        <v>1133</v>
      </c>
      <c r="L111" s="247" t="s">
        <v>154</v>
      </c>
      <c r="M111" s="414"/>
      <c r="N111" s="76"/>
      <c r="O111" s="76"/>
    </row>
    <row r="112" spans="1:15" s="331" customFormat="1">
      <c r="A112" s="471">
        <v>45904</v>
      </c>
      <c r="B112" s="247" t="s">
        <v>3455</v>
      </c>
      <c r="C112" s="247" t="s">
        <v>2089</v>
      </c>
      <c r="D112" s="469" t="s">
        <v>119</v>
      </c>
      <c r="E112" s="468">
        <v>6000</v>
      </c>
      <c r="F112" s="463">
        <f t="shared" si="3"/>
        <v>11.246422231927466</v>
      </c>
      <c r="G112" s="464">
        <v>533.50300000000004</v>
      </c>
      <c r="H112" s="469" t="s">
        <v>212</v>
      </c>
      <c r="I112" s="247" t="s">
        <v>3477</v>
      </c>
      <c r="J112" s="247" t="s">
        <v>97</v>
      </c>
      <c r="K112" s="247" t="s">
        <v>1133</v>
      </c>
      <c r="L112" s="247" t="s">
        <v>154</v>
      </c>
      <c r="M112" s="414"/>
      <c r="N112" s="76"/>
      <c r="O112" s="76"/>
    </row>
    <row r="113" spans="1:15" s="331" customFormat="1">
      <c r="A113" s="471">
        <v>45904</v>
      </c>
      <c r="B113" s="247" t="s">
        <v>3456</v>
      </c>
      <c r="C113" s="247" t="s">
        <v>2089</v>
      </c>
      <c r="D113" s="469" t="s">
        <v>119</v>
      </c>
      <c r="E113" s="468">
        <v>6000</v>
      </c>
      <c r="F113" s="463">
        <f t="shared" si="3"/>
        <v>11.246422231927466</v>
      </c>
      <c r="G113" s="464">
        <v>533.50300000000004</v>
      </c>
      <c r="H113" s="469" t="s">
        <v>212</v>
      </c>
      <c r="I113" s="247" t="s">
        <v>3477</v>
      </c>
      <c r="J113" s="247" t="s">
        <v>97</v>
      </c>
      <c r="K113" s="247" t="s">
        <v>1133</v>
      </c>
      <c r="L113" s="247" t="s">
        <v>154</v>
      </c>
      <c r="M113" s="414"/>
      <c r="N113" s="76"/>
      <c r="O113" s="76"/>
    </row>
    <row r="114" spans="1:15" s="331" customFormat="1">
      <c r="A114" s="471">
        <v>45904</v>
      </c>
      <c r="B114" s="247" t="s">
        <v>3457</v>
      </c>
      <c r="C114" s="247" t="s">
        <v>2089</v>
      </c>
      <c r="D114" s="469" t="s">
        <v>119</v>
      </c>
      <c r="E114" s="468">
        <v>6000</v>
      </c>
      <c r="F114" s="463">
        <f t="shared" si="3"/>
        <v>11.246422231927466</v>
      </c>
      <c r="G114" s="464">
        <v>533.50300000000004</v>
      </c>
      <c r="H114" s="469" t="s">
        <v>212</v>
      </c>
      <c r="I114" s="247" t="s">
        <v>3477</v>
      </c>
      <c r="J114" s="247" t="s">
        <v>97</v>
      </c>
      <c r="K114" s="247" t="s">
        <v>1133</v>
      </c>
      <c r="L114" s="247" t="s">
        <v>154</v>
      </c>
      <c r="M114" s="414"/>
      <c r="N114" s="76"/>
      <c r="O114" s="76"/>
    </row>
    <row r="115" spans="1:15" s="331" customFormat="1">
      <c r="A115" s="476">
        <v>45905</v>
      </c>
      <c r="B115" s="359" t="s">
        <v>2100</v>
      </c>
      <c r="C115" s="462" t="s">
        <v>173</v>
      </c>
      <c r="D115" s="462" t="s">
        <v>118</v>
      </c>
      <c r="E115" s="359">
        <v>1000</v>
      </c>
      <c r="F115" s="463">
        <f t="shared" si="3"/>
        <v>1.8744037053212446</v>
      </c>
      <c r="G115" s="464">
        <v>533.50300000000004</v>
      </c>
      <c r="H115" s="465" t="s">
        <v>152</v>
      </c>
      <c r="I115" s="469" t="s">
        <v>2868</v>
      </c>
      <c r="J115" s="247" t="s">
        <v>97</v>
      </c>
      <c r="K115" s="247" t="s">
        <v>1133</v>
      </c>
      <c r="L115" s="247" t="s">
        <v>154</v>
      </c>
      <c r="M115" s="335"/>
      <c r="N115" s="335"/>
      <c r="O115" s="335"/>
    </row>
    <row r="116" spans="1:15" s="331" customFormat="1">
      <c r="A116" s="476">
        <v>45905</v>
      </c>
      <c r="B116" s="359" t="s">
        <v>2101</v>
      </c>
      <c r="C116" s="462" t="s">
        <v>173</v>
      </c>
      <c r="D116" s="462" t="s">
        <v>118</v>
      </c>
      <c r="E116" s="359">
        <v>1000</v>
      </c>
      <c r="F116" s="463">
        <f t="shared" si="3"/>
        <v>1.8744037053212446</v>
      </c>
      <c r="G116" s="464">
        <v>533.50300000000004</v>
      </c>
      <c r="H116" s="465" t="s">
        <v>152</v>
      </c>
      <c r="I116" s="469" t="s">
        <v>2868</v>
      </c>
      <c r="J116" s="247" t="s">
        <v>97</v>
      </c>
      <c r="K116" s="247" t="s">
        <v>1133</v>
      </c>
      <c r="L116" s="247" t="s">
        <v>154</v>
      </c>
      <c r="M116" s="335"/>
      <c r="N116" s="335"/>
      <c r="O116" s="335"/>
    </row>
    <row r="117" spans="1:15" s="331" customFormat="1">
      <c r="A117" s="474">
        <v>45905</v>
      </c>
      <c r="B117" s="475" t="s">
        <v>2998</v>
      </c>
      <c r="C117" s="475" t="s">
        <v>173</v>
      </c>
      <c r="D117" s="475" t="s">
        <v>120</v>
      </c>
      <c r="E117" s="475">
        <v>1000</v>
      </c>
      <c r="F117" s="463">
        <f t="shared" si="3"/>
        <v>1.8744037053212446</v>
      </c>
      <c r="G117" s="464">
        <v>533.50300000000004</v>
      </c>
      <c r="H117" s="475" t="s">
        <v>183</v>
      </c>
      <c r="I117" s="475" t="s">
        <v>3086</v>
      </c>
      <c r="J117" s="247" t="s">
        <v>97</v>
      </c>
      <c r="K117" s="247" t="s">
        <v>1133</v>
      </c>
      <c r="L117" s="247" t="s">
        <v>154</v>
      </c>
      <c r="M117" s="335"/>
      <c r="N117" s="335"/>
      <c r="O117" s="335"/>
    </row>
    <row r="118" spans="1:15" s="331" customFormat="1">
      <c r="A118" s="474">
        <v>45905</v>
      </c>
      <c r="B118" s="475" t="s">
        <v>2999</v>
      </c>
      <c r="C118" s="475" t="s">
        <v>173</v>
      </c>
      <c r="D118" s="475" t="s">
        <v>120</v>
      </c>
      <c r="E118" s="475">
        <v>1000</v>
      </c>
      <c r="F118" s="463">
        <f t="shared" si="3"/>
        <v>1.8744037053212446</v>
      </c>
      <c r="G118" s="464">
        <v>533.50300000000004</v>
      </c>
      <c r="H118" s="475" t="s">
        <v>183</v>
      </c>
      <c r="I118" s="475" t="s">
        <v>3086</v>
      </c>
      <c r="J118" s="247" t="s">
        <v>97</v>
      </c>
      <c r="K118" s="247" t="s">
        <v>1133</v>
      </c>
      <c r="L118" s="247" t="s">
        <v>154</v>
      </c>
      <c r="M118" s="335"/>
      <c r="N118" s="335"/>
      <c r="O118" s="335"/>
    </row>
    <row r="119" spans="1:15" s="331" customFormat="1">
      <c r="A119" s="474">
        <v>45905</v>
      </c>
      <c r="B119" s="475" t="s">
        <v>3000</v>
      </c>
      <c r="C119" s="475" t="s">
        <v>173</v>
      </c>
      <c r="D119" s="475" t="s">
        <v>120</v>
      </c>
      <c r="E119" s="475">
        <v>1000</v>
      </c>
      <c r="F119" s="463">
        <f t="shared" si="3"/>
        <v>1.8744037053212446</v>
      </c>
      <c r="G119" s="464">
        <v>533.50300000000004</v>
      </c>
      <c r="H119" s="475" t="s">
        <v>183</v>
      </c>
      <c r="I119" s="475" t="s">
        <v>3086</v>
      </c>
      <c r="J119" s="247" t="s">
        <v>97</v>
      </c>
      <c r="K119" s="247" t="s">
        <v>1133</v>
      </c>
      <c r="L119" s="247" t="s">
        <v>154</v>
      </c>
      <c r="M119" s="335"/>
      <c r="N119" s="335"/>
      <c r="O119" s="335"/>
    </row>
    <row r="120" spans="1:15" s="331" customFormat="1">
      <c r="A120" s="474">
        <v>45905</v>
      </c>
      <c r="B120" s="475" t="s">
        <v>3001</v>
      </c>
      <c r="C120" s="475" t="s">
        <v>173</v>
      </c>
      <c r="D120" s="475" t="s">
        <v>120</v>
      </c>
      <c r="E120" s="475">
        <v>1000</v>
      </c>
      <c r="F120" s="463">
        <f t="shared" si="3"/>
        <v>1.8744037053212446</v>
      </c>
      <c r="G120" s="464">
        <v>533.50300000000004</v>
      </c>
      <c r="H120" s="475" t="s">
        <v>183</v>
      </c>
      <c r="I120" s="475" t="s">
        <v>3086</v>
      </c>
      <c r="J120" s="247" t="s">
        <v>97</v>
      </c>
      <c r="K120" s="247" t="s">
        <v>1133</v>
      </c>
      <c r="L120" s="247" t="s">
        <v>154</v>
      </c>
      <c r="M120" s="335"/>
      <c r="N120" s="335"/>
      <c r="O120" s="335"/>
    </row>
    <row r="121" spans="1:15" s="331" customFormat="1">
      <c r="A121" s="474">
        <v>45905</v>
      </c>
      <c r="B121" s="475" t="s">
        <v>3002</v>
      </c>
      <c r="C121" s="475" t="s">
        <v>173</v>
      </c>
      <c r="D121" s="475" t="s">
        <v>120</v>
      </c>
      <c r="E121" s="475">
        <v>1000</v>
      </c>
      <c r="F121" s="463">
        <f t="shared" si="3"/>
        <v>1.8744037053212446</v>
      </c>
      <c r="G121" s="464">
        <v>533.50300000000004</v>
      </c>
      <c r="H121" s="475" t="s">
        <v>183</v>
      </c>
      <c r="I121" s="475" t="s">
        <v>3086</v>
      </c>
      <c r="J121" s="247" t="s">
        <v>97</v>
      </c>
      <c r="K121" s="247" t="s">
        <v>1133</v>
      </c>
      <c r="L121" s="247" t="s">
        <v>154</v>
      </c>
      <c r="M121" s="335"/>
      <c r="N121" s="335"/>
      <c r="O121" s="335"/>
    </row>
    <row r="122" spans="1:15" s="331" customFormat="1">
      <c r="A122" s="474">
        <v>45905</v>
      </c>
      <c r="B122" s="475" t="s">
        <v>3003</v>
      </c>
      <c r="C122" s="475" t="s">
        <v>368</v>
      </c>
      <c r="D122" s="475" t="s">
        <v>120</v>
      </c>
      <c r="E122" s="475">
        <v>1000</v>
      </c>
      <c r="F122" s="463">
        <f t="shared" si="3"/>
        <v>1.8744037053212446</v>
      </c>
      <c r="G122" s="464">
        <v>533.50300000000004</v>
      </c>
      <c r="H122" s="475" t="s">
        <v>183</v>
      </c>
      <c r="I122" s="475" t="s">
        <v>3092</v>
      </c>
      <c r="J122" s="247" t="s">
        <v>97</v>
      </c>
      <c r="K122" s="247" t="s">
        <v>1133</v>
      </c>
      <c r="L122" s="247" t="s">
        <v>154</v>
      </c>
      <c r="M122" s="335"/>
      <c r="N122" s="335"/>
      <c r="O122" s="335"/>
    </row>
    <row r="123" spans="1:15" s="331" customFormat="1">
      <c r="A123" s="476">
        <v>45905</v>
      </c>
      <c r="B123" s="469" t="s">
        <v>4046</v>
      </c>
      <c r="C123" s="469" t="s">
        <v>173</v>
      </c>
      <c r="D123" s="469" t="s">
        <v>120</v>
      </c>
      <c r="E123" s="469">
        <v>1000</v>
      </c>
      <c r="F123" s="463">
        <f t="shared" si="3"/>
        <v>1.8744037053212446</v>
      </c>
      <c r="G123" s="464">
        <v>533.50300000000004</v>
      </c>
      <c r="H123" s="469" t="s">
        <v>174</v>
      </c>
      <c r="I123" s="469" t="s">
        <v>3196</v>
      </c>
      <c r="J123" s="247" t="s">
        <v>97</v>
      </c>
      <c r="K123" s="247" t="s">
        <v>1133</v>
      </c>
      <c r="L123" s="247" t="s">
        <v>154</v>
      </c>
      <c r="M123" s="414"/>
      <c r="N123" s="414"/>
      <c r="O123" s="414"/>
    </row>
    <row r="124" spans="1:15" s="331" customFormat="1">
      <c r="A124" s="476">
        <v>45905</v>
      </c>
      <c r="B124" s="469" t="s">
        <v>4047</v>
      </c>
      <c r="C124" s="469" t="s">
        <v>173</v>
      </c>
      <c r="D124" s="469" t="s">
        <v>120</v>
      </c>
      <c r="E124" s="469">
        <v>1000</v>
      </c>
      <c r="F124" s="463">
        <f t="shared" si="3"/>
        <v>1.8744037053212446</v>
      </c>
      <c r="G124" s="464">
        <v>533.50300000000004</v>
      </c>
      <c r="H124" s="469" t="s">
        <v>174</v>
      </c>
      <c r="I124" s="469" t="s">
        <v>3196</v>
      </c>
      <c r="J124" s="247" t="s">
        <v>97</v>
      </c>
      <c r="K124" s="247" t="s">
        <v>1133</v>
      </c>
      <c r="L124" s="247" t="s">
        <v>154</v>
      </c>
      <c r="M124" s="414"/>
      <c r="N124" s="414"/>
      <c r="O124" s="414"/>
    </row>
    <row r="125" spans="1:15" s="331" customFormat="1">
      <c r="A125" s="476">
        <v>45905</v>
      </c>
      <c r="B125" s="469" t="s">
        <v>4048</v>
      </c>
      <c r="C125" s="469" t="s">
        <v>173</v>
      </c>
      <c r="D125" s="469" t="s">
        <v>120</v>
      </c>
      <c r="E125" s="469">
        <v>1000</v>
      </c>
      <c r="F125" s="463">
        <f t="shared" si="3"/>
        <v>1.8744037053212446</v>
      </c>
      <c r="G125" s="464">
        <v>533.50300000000004</v>
      </c>
      <c r="H125" s="469" t="s">
        <v>174</v>
      </c>
      <c r="I125" s="469" t="s">
        <v>3196</v>
      </c>
      <c r="J125" s="247" t="s">
        <v>97</v>
      </c>
      <c r="K125" s="247" t="s">
        <v>1133</v>
      </c>
      <c r="L125" s="247" t="s">
        <v>154</v>
      </c>
      <c r="M125" s="414"/>
      <c r="N125" s="414"/>
      <c r="O125" s="414"/>
    </row>
    <row r="126" spans="1:15" s="331" customFormat="1">
      <c r="A126" s="476">
        <v>45905</v>
      </c>
      <c r="B126" s="469" t="s">
        <v>4049</v>
      </c>
      <c r="C126" s="469" t="s">
        <v>173</v>
      </c>
      <c r="D126" s="469" t="s">
        <v>120</v>
      </c>
      <c r="E126" s="469">
        <v>1000</v>
      </c>
      <c r="F126" s="463">
        <f t="shared" si="3"/>
        <v>1.8744037053212446</v>
      </c>
      <c r="G126" s="464">
        <v>533.50300000000004</v>
      </c>
      <c r="H126" s="469" t="s">
        <v>174</v>
      </c>
      <c r="I126" s="469" t="s">
        <v>3196</v>
      </c>
      <c r="J126" s="247" t="s">
        <v>97</v>
      </c>
      <c r="K126" s="247" t="s">
        <v>1133</v>
      </c>
      <c r="L126" s="247" t="s">
        <v>154</v>
      </c>
      <c r="M126" s="414"/>
      <c r="N126" s="414"/>
      <c r="O126" s="414"/>
    </row>
    <row r="127" spans="1:15" s="331" customFormat="1">
      <c r="A127" s="476">
        <v>45905</v>
      </c>
      <c r="B127" s="469" t="s">
        <v>4050</v>
      </c>
      <c r="C127" s="469" t="s">
        <v>173</v>
      </c>
      <c r="D127" s="469" t="s">
        <v>120</v>
      </c>
      <c r="E127" s="469">
        <v>1000</v>
      </c>
      <c r="F127" s="463">
        <f t="shared" si="3"/>
        <v>1.8744037053212446</v>
      </c>
      <c r="G127" s="464">
        <v>533.50300000000004</v>
      </c>
      <c r="H127" s="469" t="s">
        <v>174</v>
      </c>
      <c r="I127" s="469" t="s">
        <v>3196</v>
      </c>
      <c r="J127" s="247" t="s">
        <v>97</v>
      </c>
      <c r="K127" s="247" t="s">
        <v>1133</v>
      </c>
      <c r="L127" s="247" t="s">
        <v>154</v>
      </c>
      <c r="M127" s="414"/>
      <c r="N127" s="414"/>
      <c r="O127" s="414"/>
    </row>
    <row r="128" spans="1:15" s="331" customFormat="1">
      <c r="A128" s="476">
        <v>45905</v>
      </c>
      <c r="B128" s="469" t="s">
        <v>3118</v>
      </c>
      <c r="C128" s="469" t="s">
        <v>368</v>
      </c>
      <c r="D128" s="469" t="s">
        <v>120</v>
      </c>
      <c r="E128" s="469">
        <v>2000</v>
      </c>
      <c r="F128" s="463">
        <f t="shared" si="3"/>
        <v>3.7488074106424891</v>
      </c>
      <c r="G128" s="464">
        <v>533.50300000000004</v>
      </c>
      <c r="H128" s="469" t="s">
        <v>174</v>
      </c>
      <c r="I128" s="469" t="s">
        <v>3201</v>
      </c>
      <c r="J128" s="247" t="s">
        <v>97</v>
      </c>
      <c r="K128" s="247" t="s">
        <v>1133</v>
      </c>
      <c r="L128" s="247" t="s">
        <v>154</v>
      </c>
      <c r="M128" s="414"/>
      <c r="N128" s="414"/>
      <c r="O128" s="414"/>
    </row>
    <row r="129" spans="1:15" s="331" customFormat="1">
      <c r="A129" s="476">
        <v>45905</v>
      </c>
      <c r="B129" s="469" t="s">
        <v>3219</v>
      </c>
      <c r="C129" s="469" t="s">
        <v>173</v>
      </c>
      <c r="D129" s="469" t="s">
        <v>120</v>
      </c>
      <c r="E129" s="469">
        <v>700</v>
      </c>
      <c r="F129" s="463">
        <f t="shared" si="3"/>
        <v>1.3120825937248712</v>
      </c>
      <c r="G129" s="464">
        <v>533.50300000000004</v>
      </c>
      <c r="H129" s="469" t="s">
        <v>316</v>
      </c>
      <c r="I129" s="469" t="s">
        <v>3260</v>
      </c>
      <c r="J129" s="247" t="s">
        <v>97</v>
      </c>
      <c r="K129" s="247" t="s">
        <v>1133</v>
      </c>
      <c r="L129" s="247" t="s">
        <v>154</v>
      </c>
      <c r="M129" s="335"/>
      <c r="N129" s="335"/>
      <c r="O129" s="335"/>
    </row>
    <row r="130" spans="1:15" s="331" customFormat="1">
      <c r="A130" s="476">
        <v>45905</v>
      </c>
      <c r="B130" s="469" t="s">
        <v>3220</v>
      </c>
      <c r="C130" s="469" t="s">
        <v>173</v>
      </c>
      <c r="D130" s="469" t="s">
        <v>120</v>
      </c>
      <c r="E130" s="469">
        <v>600</v>
      </c>
      <c r="F130" s="463">
        <f t="shared" si="3"/>
        <v>1.1246422231927466</v>
      </c>
      <c r="G130" s="464">
        <v>533.50300000000004</v>
      </c>
      <c r="H130" s="469" t="s">
        <v>316</v>
      </c>
      <c r="I130" s="469" t="s">
        <v>3260</v>
      </c>
      <c r="J130" s="247" t="s">
        <v>97</v>
      </c>
      <c r="K130" s="247" t="s">
        <v>1133</v>
      </c>
      <c r="L130" s="247" t="s">
        <v>154</v>
      </c>
      <c r="M130" s="335"/>
      <c r="N130" s="335"/>
      <c r="O130" s="335"/>
    </row>
    <row r="131" spans="1:15" s="331" customFormat="1">
      <c r="A131" s="476">
        <v>45905</v>
      </c>
      <c r="B131" s="469" t="s">
        <v>3221</v>
      </c>
      <c r="C131" s="469" t="s">
        <v>365</v>
      </c>
      <c r="D131" s="469" t="s">
        <v>120</v>
      </c>
      <c r="E131" s="469">
        <v>2000</v>
      </c>
      <c r="F131" s="463">
        <f t="shared" si="3"/>
        <v>3.7488074106424891</v>
      </c>
      <c r="G131" s="464">
        <v>533.50300000000004</v>
      </c>
      <c r="H131" s="469" t="s">
        <v>316</v>
      </c>
      <c r="I131" s="469" t="s">
        <v>3263</v>
      </c>
      <c r="J131" s="247" t="s">
        <v>97</v>
      </c>
      <c r="K131" s="247" t="s">
        <v>1133</v>
      </c>
      <c r="L131" s="247" t="s">
        <v>154</v>
      </c>
      <c r="M131" s="335"/>
      <c r="N131" s="335"/>
      <c r="O131" s="335"/>
    </row>
    <row r="132" spans="1:15" s="331" customFormat="1">
      <c r="A132" s="476">
        <v>45905</v>
      </c>
      <c r="B132" s="469" t="s">
        <v>3222</v>
      </c>
      <c r="C132" s="469" t="s">
        <v>173</v>
      </c>
      <c r="D132" s="469" t="s">
        <v>120</v>
      </c>
      <c r="E132" s="469">
        <v>600</v>
      </c>
      <c r="F132" s="463">
        <f t="shared" si="3"/>
        <v>1.1246422231927466</v>
      </c>
      <c r="G132" s="464">
        <v>533.50300000000004</v>
      </c>
      <c r="H132" s="469" t="s">
        <v>316</v>
      </c>
      <c r="I132" s="469" t="s">
        <v>3260</v>
      </c>
      <c r="J132" s="247" t="s">
        <v>97</v>
      </c>
      <c r="K132" s="247" t="s">
        <v>1133</v>
      </c>
      <c r="L132" s="247" t="s">
        <v>154</v>
      </c>
      <c r="M132" s="335"/>
      <c r="N132" s="335"/>
      <c r="O132" s="335"/>
    </row>
    <row r="133" spans="1:15" s="331" customFormat="1">
      <c r="A133" s="476">
        <v>45905</v>
      </c>
      <c r="B133" s="469" t="s">
        <v>3223</v>
      </c>
      <c r="C133" s="469" t="s">
        <v>173</v>
      </c>
      <c r="D133" s="469" t="s">
        <v>120</v>
      </c>
      <c r="E133" s="469">
        <v>700</v>
      </c>
      <c r="F133" s="463">
        <f t="shared" si="3"/>
        <v>1.3120825937248712</v>
      </c>
      <c r="G133" s="464">
        <v>533.50300000000004</v>
      </c>
      <c r="H133" s="469" t="s">
        <v>316</v>
      </c>
      <c r="I133" s="469" t="s">
        <v>3260</v>
      </c>
      <c r="J133" s="247" t="s">
        <v>97</v>
      </c>
      <c r="K133" s="247" t="s">
        <v>1133</v>
      </c>
      <c r="L133" s="247" t="s">
        <v>154</v>
      </c>
      <c r="M133" s="335"/>
      <c r="N133" s="335"/>
      <c r="O133" s="335"/>
    </row>
    <row r="134" spans="1:15" s="331" customFormat="1">
      <c r="A134" s="476">
        <v>45905</v>
      </c>
      <c r="B134" s="469" t="s">
        <v>3224</v>
      </c>
      <c r="C134" s="469" t="s">
        <v>173</v>
      </c>
      <c r="D134" s="469" t="s">
        <v>120</v>
      </c>
      <c r="E134" s="469">
        <v>700</v>
      </c>
      <c r="F134" s="463">
        <f t="shared" si="3"/>
        <v>1.3120825937248712</v>
      </c>
      <c r="G134" s="464">
        <v>533.50300000000004</v>
      </c>
      <c r="H134" s="469" t="s">
        <v>316</v>
      </c>
      <c r="I134" s="469" t="s">
        <v>3260</v>
      </c>
      <c r="J134" s="247" t="s">
        <v>97</v>
      </c>
      <c r="K134" s="247" t="s">
        <v>1133</v>
      </c>
      <c r="L134" s="247" t="s">
        <v>154</v>
      </c>
      <c r="M134" s="335"/>
      <c r="N134" s="335"/>
      <c r="O134" s="335"/>
    </row>
    <row r="135" spans="1:15" s="331" customFormat="1">
      <c r="A135" s="476">
        <v>45905</v>
      </c>
      <c r="B135" s="469" t="s">
        <v>3225</v>
      </c>
      <c r="C135" s="469" t="s">
        <v>173</v>
      </c>
      <c r="D135" s="469" t="s">
        <v>120</v>
      </c>
      <c r="E135" s="469">
        <v>700</v>
      </c>
      <c r="F135" s="463">
        <f t="shared" si="3"/>
        <v>1.3120825937248712</v>
      </c>
      <c r="G135" s="464">
        <v>533.50300000000004</v>
      </c>
      <c r="H135" s="469" t="s">
        <v>316</v>
      </c>
      <c r="I135" s="469" t="s">
        <v>3260</v>
      </c>
      <c r="J135" s="247" t="s">
        <v>97</v>
      </c>
      <c r="K135" s="247" t="s">
        <v>1133</v>
      </c>
      <c r="L135" s="247" t="s">
        <v>154</v>
      </c>
      <c r="M135" s="335"/>
      <c r="N135" s="335"/>
      <c r="O135" s="335"/>
    </row>
    <row r="136" spans="1:15" s="331" customFormat="1">
      <c r="A136" s="476">
        <v>45905</v>
      </c>
      <c r="B136" s="469" t="s">
        <v>3306</v>
      </c>
      <c r="C136" s="469" t="s">
        <v>173</v>
      </c>
      <c r="D136" s="469" t="s">
        <v>116</v>
      </c>
      <c r="E136" s="470">
        <v>500</v>
      </c>
      <c r="F136" s="463">
        <f t="shared" si="3"/>
        <v>0.93720185266062228</v>
      </c>
      <c r="G136" s="464">
        <v>533.50300000000004</v>
      </c>
      <c r="H136" s="469" t="s">
        <v>189</v>
      </c>
      <c r="I136" s="469" t="s">
        <v>3324</v>
      </c>
      <c r="J136" s="247" t="s">
        <v>97</v>
      </c>
      <c r="K136" s="247" t="s">
        <v>1133</v>
      </c>
      <c r="L136" s="247" t="s">
        <v>154</v>
      </c>
      <c r="M136" s="335"/>
      <c r="N136" s="335"/>
      <c r="O136" s="335"/>
    </row>
    <row r="137" spans="1:15" s="331" customFormat="1">
      <c r="A137" s="476">
        <v>45905</v>
      </c>
      <c r="B137" s="469" t="s">
        <v>3308</v>
      </c>
      <c r="C137" s="469" t="s">
        <v>173</v>
      </c>
      <c r="D137" s="469" t="s">
        <v>116</v>
      </c>
      <c r="E137" s="470">
        <v>500</v>
      </c>
      <c r="F137" s="463">
        <f t="shared" si="3"/>
        <v>0.93720185266062228</v>
      </c>
      <c r="G137" s="464">
        <v>533.50300000000004</v>
      </c>
      <c r="H137" s="469" t="s">
        <v>189</v>
      </c>
      <c r="I137" s="469" t="s">
        <v>3324</v>
      </c>
      <c r="J137" s="247" t="s">
        <v>97</v>
      </c>
      <c r="K137" s="247" t="s">
        <v>1133</v>
      </c>
      <c r="L137" s="247" t="s">
        <v>154</v>
      </c>
      <c r="M137" s="335"/>
      <c r="N137" s="335"/>
      <c r="O137" s="335"/>
    </row>
    <row r="138" spans="1:15" s="331" customFormat="1">
      <c r="A138" s="476">
        <v>45905</v>
      </c>
      <c r="B138" s="469" t="s">
        <v>3309</v>
      </c>
      <c r="C138" s="469" t="s">
        <v>173</v>
      </c>
      <c r="D138" s="469" t="s">
        <v>116</v>
      </c>
      <c r="E138" s="470">
        <v>1000</v>
      </c>
      <c r="F138" s="463">
        <f t="shared" si="3"/>
        <v>1.8744037053212446</v>
      </c>
      <c r="G138" s="464">
        <v>533.50300000000004</v>
      </c>
      <c r="H138" s="469" t="s">
        <v>189</v>
      </c>
      <c r="I138" s="469" t="s">
        <v>3324</v>
      </c>
      <c r="J138" s="247" t="s">
        <v>97</v>
      </c>
      <c r="K138" s="247" t="s">
        <v>1133</v>
      </c>
      <c r="L138" s="247" t="s">
        <v>154</v>
      </c>
      <c r="M138" s="335"/>
      <c r="N138" s="335"/>
      <c r="O138" s="335"/>
    </row>
    <row r="139" spans="1:15" s="331" customFormat="1">
      <c r="A139" s="476">
        <v>45905</v>
      </c>
      <c r="B139" s="469" t="s">
        <v>3310</v>
      </c>
      <c r="C139" s="469" t="s">
        <v>173</v>
      </c>
      <c r="D139" s="469" t="s">
        <v>116</v>
      </c>
      <c r="E139" s="470">
        <v>1000</v>
      </c>
      <c r="F139" s="463">
        <f t="shared" si="3"/>
        <v>1.8744037053212446</v>
      </c>
      <c r="G139" s="464">
        <v>533.50300000000004</v>
      </c>
      <c r="H139" s="469" t="s">
        <v>189</v>
      </c>
      <c r="I139" s="469" t="s">
        <v>3324</v>
      </c>
      <c r="J139" s="247" t="s">
        <v>97</v>
      </c>
      <c r="K139" s="247" t="s">
        <v>1133</v>
      </c>
      <c r="L139" s="247" t="s">
        <v>154</v>
      </c>
      <c r="M139" s="335"/>
      <c r="N139" s="335"/>
      <c r="O139" s="335"/>
    </row>
    <row r="140" spans="1:15" s="331" customFormat="1">
      <c r="A140" s="471">
        <v>45905</v>
      </c>
      <c r="B140" s="247" t="s">
        <v>3311</v>
      </c>
      <c r="C140" s="469" t="s">
        <v>181</v>
      </c>
      <c r="D140" s="469" t="s">
        <v>117</v>
      </c>
      <c r="E140" s="468">
        <v>14790</v>
      </c>
      <c r="F140" s="463">
        <f t="shared" si="3"/>
        <v>27.722430801701208</v>
      </c>
      <c r="G140" s="464">
        <v>533.50300000000004</v>
      </c>
      <c r="H140" s="469" t="s">
        <v>189</v>
      </c>
      <c r="I140" s="247" t="s">
        <v>3326</v>
      </c>
      <c r="J140" s="247" t="s">
        <v>97</v>
      </c>
      <c r="K140" s="247" t="s">
        <v>1133</v>
      </c>
      <c r="L140" s="247" t="s">
        <v>154</v>
      </c>
      <c r="M140" s="335"/>
      <c r="N140" s="335"/>
      <c r="O140" s="335"/>
    </row>
    <row r="141" spans="1:15" s="331" customFormat="1">
      <c r="A141" s="476">
        <v>45905</v>
      </c>
      <c r="B141" s="469" t="s">
        <v>3306</v>
      </c>
      <c r="C141" s="469" t="s">
        <v>173</v>
      </c>
      <c r="D141" s="469" t="s">
        <v>116</v>
      </c>
      <c r="E141" s="470">
        <v>500</v>
      </c>
      <c r="F141" s="463">
        <f t="shared" si="3"/>
        <v>0.93720185266062228</v>
      </c>
      <c r="G141" s="464">
        <v>533.50300000000004</v>
      </c>
      <c r="H141" s="469" t="s">
        <v>189</v>
      </c>
      <c r="I141" s="469" t="s">
        <v>3324</v>
      </c>
      <c r="J141" s="247" t="s">
        <v>97</v>
      </c>
      <c r="K141" s="247" t="s">
        <v>1133</v>
      </c>
      <c r="L141" s="247" t="s">
        <v>154</v>
      </c>
      <c r="M141" s="335"/>
      <c r="N141" s="335"/>
      <c r="O141" s="335"/>
    </row>
    <row r="142" spans="1:15" s="422" customFormat="1">
      <c r="A142" s="476">
        <v>45905</v>
      </c>
      <c r="B142" s="469" t="s">
        <v>3308</v>
      </c>
      <c r="C142" s="469" t="s">
        <v>173</v>
      </c>
      <c r="D142" s="469" t="s">
        <v>116</v>
      </c>
      <c r="E142" s="470">
        <v>500</v>
      </c>
      <c r="F142" s="463">
        <f t="shared" si="3"/>
        <v>0.93720185266062228</v>
      </c>
      <c r="G142" s="464">
        <v>533.50300000000004</v>
      </c>
      <c r="H142" s="469" t="s">
        <v>189</v>
      </c>
      <c r="I142" s="469" t="s">
        <v>3324</v>
      </c>
      <c r="J142" s="247" t="s">
        <v>97</v>
      </c>
      <c r="K142" s="247" t="s">
        <v>1133</v>
      </c>
      <c r="L142" s="247" t="s">
        <v>154</v>
      </c>
      <c r="M142" s="335"/>
      <c r="N142" s="335"/>
      <c r="O142" s="335"/>
    </row>
    <row r="143" spans="1:15" s="331" customFormat="1">
      <c r="A143" s="471">
        <v>45905</v>
      </c>
      <c r="B143" s="469" t="s">
        <v>3340</v>
      </c>
      <c r="C143" s="469" t="s">
        <v>176</v>
      </c>
      <c r="D143" s="469" t="s">
        <v>116</v>
      </c>
      <c r="E143" s="470">
        <v>90000</v>
      </c>
      <c r="F143" s="463">
        <f t="shared" si="3"/>
        <v>168.69633347891201</v>
      </c>
      <c r="G143" s="464">
        <v>533.50300000000004</v>
      </c>
      <c r="H143" s="247" t="s">
        <v>192</v>
      </c>
      <c r="I143" s="469" t="s">
        <v>3365</v>
      </c>
      <c r="J143" s="247" t="s">
        <v>97</v>
      </c>
      <c r="K143" s="247" t="s">
        <v>1133</v>
      </c>
      <c r="L143" s="247" t="s">
        <v>154</v>
      </c>
      <c r="M143" s="335"/>
      <c r="N143" s="127"/>
      <c r="O143" s="127"/>
    </row>
    <row r="144" spans="1:15" s="331" customFormat="1">
      <c r="A144" s="471">
        <v>45905</v>
      </c>
      <c r="B144" s="469" t="s">
        <v>3341</v>
      </c>
      <c r="C144" s="247" t="s">
        <v>173</v>
      </c>
      <c r="D144" s="247" t="s">
        <v>116</v>
      </c>
      <c r="E144" s="468">
        <v>500</v>
      </c>
      <c r="F144" s="463">
        <f t="shared" si="3"/>
        <v>0.93720185266062228</v>
      </c>
      <c r="G144" s="464">
        <v>533.50300000000004</v>
      </c>
      <c r="H144" s="247" t="s">
        <v>192</v>
      </c>
      <c r="I144" s="469" t="s">
        <v>3360</v>
      </c>
      <c r="J144" s="247" t="s">
        <v>97</v>
      </c>
      <c r="K144" s="247" t="s">
        <v>1133</v>
      </c>
      <c r="L144" s="247" t="s">
        <v>154</v>
      </c>
      <c r="M144" s="335"/>
      <c r="N144" s="127"/>
      <c r="O144" s="127"/>
    </row>
    <row r="145" spans="1:15" s="331" customFormat="1">
      <c r="A145" s="471">
        <v>45905</v>
      </c>
      <c r="B145" s="469" t="s">
        <v>2643</v>
      </c>
      <c r="C145" s="480" t="s">
        <v>173</v>
      </c>
      <c r="D145" s="247" t="s">
        <v>116</v>
      </c>
      <c r="E145" s="468">
        <v>500</v>
      </c>
      <c r="F145" s="463">
        <f t="shared" si="3"/>
        <v>0.93720185266062228</v>
      </c>
      <c r="G145" s="464">
        <v>533.50300000000004</v>
      </c>
      <c r="H145" s="247" t="s">
        <v>192</v>
      </c>
      <c r="I145" s="469" t="s">
        <v>3360</v>
      </c>
      <c r="J145" s="247" t="s">
        <v>97</v>
      </c>
      <c r="K145" s="247" t="s">
        <v>1133</v>
      </c>
      <c r="L145" s="247" t="s">
        <v>154</v>
      </c>
      <c r="M145" s="335"/>
      <c r="N145" s="127"/>
      <c r="O145" s="127"/>
    </row>
    <row r="146" spans="1:15" s="331" customFormat="1">
      <c r="A146" s="461">
        <v>45905</v>
      </c>
      <c r="B146" s="469" t="s">
        <v>2696</v>
      </c>
      <c r="C146" s="359" t="s">
        <v>195</v>
      </c>
      <c r="D146" s="359" t="s">
        <v>116</v>
      </c>
      <c r="E146" s="472">
        <v>500</v>
      </c>
      <c r="F146" s="463">
        <f t="shared" si="3"/>
        <v>0.93720185266062228</v>
      </c>
      <c r="G146" s="464">
        <v>533.50300000000004</v>
      </c>
      <c r="H146" s="360" t="s">
        <v>437</v>
      </c>
      <c r="I146" s="469" t="s">
        <v>3411</v>
      </c>
      <c r="J146" s="247" t="s">
        <v>97</v>
      </c>
      <c r="K146" s="247" t="s">
        <v>1133</v>
      </c>
      <c r="L146" s="247" t="s">
        <v>154</v>
      </c>
      <c r="M146" s="414"/>
      <c r="N146" s="76"/>
      <c r="O146" s="76"/>
    </row>
    <row r="147" spans="1:15" s="331" customFormat="1">
      <c r="A147" s="461">
        <v>45906</v>
      </c>
      <c r="B147" s="469" t="s">
        <v>3382</v>
      </c>
      <c r="C147" s="359" t="s">
        <v>195</v>
      </c>
      <c r="D147" s="359" t="s">
        <v>116</v>
      </c>
      <c r="E147" s="472">
        <v>500</v>
      </c>
      <c r="F147" s="463">
        <f t="shared" si="3"/>
        <v>0.93720185266062228</v>
      </c>
      <c r="G147" s="464">
        <v>533.50300000000004</v>
      </c>
      <c r="H147" s="360" t="s">
        <v>437</v>
      </c>
      <c r="I147" s="469" t="s">
        <v>3411</v>
      </c>
      <c r="J147" s="247" t="s">
        <v>97</v>
      </c>
      <c r="K147" s="247" t="s">
        <v>1133</v>
      </c>
      <c r="L147" s="247" t="s">
        <v>154</v>
      </c>
      <c r="M147" s="414"/>
      <c r="N147" s="76"/>
      <c r="O147" s="76"/>
    </row>
    <row r="148" spans="1:15" s="331" customFormat="1">
      <c r="A148" s="476">
        <v>45905</v>
      </c>
      <c r="B148" s="469" t="s">
        <v>3458</v>
      </c>
      <c r="C148" s="469" t="s">
        <v>173</v>
      </c>
      <c r="D148" s="469" t="s">
        <v>119</v>
      </c>
      <c r="E148" s="472">
        <v>1000</v>
      </c>
      <c r="F148" s="463">
        <f t="shared" si="3"/>
        <v>1.8744037053212446</v>
      </c>
      <c r="G148" s="464">
        <v>533.50300000000004</v>
      </c>
      <c r="H148" s="469" t="s">
        <v>212</v>
      </c>
      <c r="I148" s="469" t="s">
        <v>3470</v>
      </c>
      <c r="J148" s="247" t="s">
        <v>97</v>
      </c>
      <c r="K148" s="247" t="s">
        <v>1133</v>
      </c>
      <c r="L148" s="247" t="s">
        <v>154</v>
      </c>
      <c r="M148" s="414"/>
      <c r="N148" s="76"/>
      <c r="O148" s="76"/>
    </row>
    <row r="149" spans="1:15" s="331" customFormat="1">
      <c r="A149" s="476">
        <v>45905</v>
      </c>
      <c r="B149" s="469" t="s">
        <v>3459</v>
      </c>
      <c r="C149" s="469" t="s">
        <v>173</v>
      </c>
      <c r="D149" s="469" t="s">
        <v>119</v>
      </c>
      <c r="E149" s="472">
        <v>1000</v>
      </c>
      <c r="F149" s="463">
        <f t="shared" si="3"/>
        <v>1.8744037053212446</v>
      </c>
      <c r="G149" s="464">
        <v>533.50300000000004</v>
      </c>
      <c r="H149" s="469" t="s">
        <v>212</v>
      </c>
      <c r="I149" s="469" t="s">
        <v>3470</v>
      </c>
      <c r="J149" s="247" t="s">
        <v>97</v>
      </c>
      <c r="K149" s="247" t="s">
        <v>1133</v>
      </c>
      <c r="L149" s="247" t="s">
        <v>154</v>
      </c>
      <c r="M149" s="414"/>
      <c r="N149" s="76"/>
      <c r="O149" s="76"/>
    </row>
    <row r="150" spans="1:15" s="331" customFormat="1">
      <c r="A150" s="476">
        <v>45905</v>
      </c>
      <c r="B150" s="469" t="s">
        <v>3460</v>
      </c>
      <c r="C150" s="469" t="s">
        <v>173</v>
      </c>
      <c r="D150" s="469" t="s">
        <v>119</v>
      </c>
      <c r="E150" s="472">
        <v>1000</v>
      </c>
      <c r="F150" s="463">
        <f t="shared" si="3"/>
        <v>1.8744037053212446</v>
      </c>
      <c r="G150" s="464">
        <v>533.50300000000004</v>
      </c>
      <c r="H150" s="469" t="s">
        <v>212</v>
      </c>
      <c r="I150" s="469" t="s">
        <v>3470</v>
      </c>
      <c r="J150" s="247" t="s">
        <v>97</v>
      </c>
      <c r="K150" s="247" t="s">
        <v>1133</v>
      </c>
      <c r="L150" s="247" t="s">
        <v>154</v>
      </c>
      <c r="M150" s="414"/>
      <c r="N150" s="76"/>
      <c r="O150" s="76"/>
    </row>
    <row r="151" spans="1:15" s="331" customFormat="1">
      <c r="A151" s="476">
        <v>45905</v>
      </c>
      <c r="B151" s="469" t="s">
        <v>3461</v>
      </c>
      <c r="C151" s="469" t="s">
        <v>173</v>
      </c>
      <c r="D151" s="469" t="s">
        <v>119</v>
      </c>
      <c r="E151" s="472">
        <v>1000</v>
      </c>
      <c r="F151" s="463">
        <f t="shared" si="3"/>
        <v>1.8744037053212446</v>
      </c>
      <c r="G151" s="464">
        <v>533.50300000000004</v>
      </c>
      <c r="H151" s="469" t="s">
        <v>212</v>
      </c>
      <c r="I151" s="469" t="s">
        <v>3470</v>
      </c>
      <c r="J151" s="247" t="s">
        <v>97</v>
      </c>
      <c r="K151" s="247" t="s">
        <v>1133</v>
      </c>
      <c r="L151" s="247" t="s">
        <v>154</v>
      </c>
      <c r="M151" s="414"/>
      <c r="N151" s="76"/>
      <c r="O151" s="76"/>
    </row>
    <row r="152" spans="1:15" s="331" customFormat="1">
      <c r="A152" s="474">
        <v>45906</v>
      </c>
      <c r="B152" s="216" t="s">
        <v>2419</v>
      </c>
      <c r="C152" s="216" t="s">
        <v>173</v>
      </c>
      <c r="D152" s="337" t="s">
        <v>116</v>
      </c>
      <c r="E152" s="475">
        <v>500</v>
      </c>
      <c r="F152" s="463">
        <f t="shared" si="3"/>
        <v>0.93720185266062228</v>
      </c>
      <c r="G152" s="464">
        <v>533.50300000000004</v>
      </c>
      <c r="H152" s="339" t="s">
        <v>1508</v>
      </c>
      <c r="I152" s="216" t="s">
        <v>2911</v>
      </c>
      <c r="J152" s="247" t="s">
        <v>97</v>
      </c>
      <c r="K152" s="247" t="s">
        <v>1133</v>
      </c>
      <c r="L152" s="247" t="s">
        <v>154</v>
      </c>
      <c r="M152" s="414"/>
      <c r="N152" s="414"/>
      <c r="O152" s="414"/>
    </row>
    <row r="153" spans="1:15" s="331" customFormat="1">
      <c r="A153" s="474">
        <v>45906</v>
      </c>
      <c r="B153" s="216" t="s">
        <v>2418</v>
      </c>
      <c r="C153" s="216" t="s">
        <v>173</v>
      </c>
      <c r="D153" s="337" t="s">
        <v>116</v>
      </c>
      <c r="E153" s="475">
        <v>500</v>
      </c>
      <c r="F153" s="463">
        <f t="shared" si="3"/>
        <v>0.93720185266062228</v>
      </c>
      <c r="G153" s="464">
        <v>533.50300000000004</v>
      </c>
      <c r="H153" s="339" t="s">
        <v>1508</v>
      </c>
      <c r="I153" s="216" t="s">
        <v>2911</v>
      </c>
      <c r="J153" s="247" t="s">
        <v>97</v>
      </c>
      <c r="K153" s="247" t="s">
        <v>1133</v>
      </c>
      <c r="L153" s="247" t="s">
        <v>154</v>
      </c>
      <c r="M153" s="414"/>
      <c r="N153" s="414"/>
      <c r="O153" s="414"/>
    </row>
    <row r="154" spans="1:15" s="331" customFormat="1">
      <c r="A154" s="474">
        <v>45906</v>
      </c>
      <c r="B154" s="475" t="s">
        <v>2998</v>
      </c>
      <c r="C154" s="475" t="s">
        <v>173</v>
      </c>
      <c r="D154" s="475" t="s">
        <v>120</v>
      </c>
      <c r="E154" s="475">
        <v>1000</v>
      </c>
      <c r="F154" s="463">
        <f t="shared" si="3"/>
        <v>1.8744037053212446</v>
      </c>
      <c r="G154" s="464">
        <v>533.50300000000004</v>
      </c>
      <c r="H154" s="475" t="s">
        <v>183</v>
      </c>
      <c r="I154" s="475" t="s">
        <v>3086</v>
      </c>
      <c r="J154" s="247" t="s">
        <v>97</v>
      </c>
      <c r="K154" s="247" t="s">
        <v>1133</v>
      </c>
      <c r="L154" s="247" t="s">
        <v>154</v>
      </c>
      <c r="M154" s="335"/>
      <c r="N154" s="335"/>
      <c r="O154" s="335"/>
    </row>
    <row r="155" spans="1:15" s="331" customFormat="1">
      <c r="A155" s="474">
        <v>45906</v>
      </c>
      <c r="B155" s="475" t="s">
        <v>3004</v>
      </c>
      <c r="C155" s="475" t="s">
        <v>173</v>
      </c>
      <c r="D155" s="475" t="s">
        <v>120</v>
      </c>
      <c r="E155" s="475">
        <v>1000</v>
      </c>
      <c r="F155" s="463">
        <f t="shared" si="3"/>
        <v>1.8744037053212446</v>
      </c>
      <c r="G155" s="464">
        <v>533.50300000000004</v>
      </c>
      <c r="H155" s="475" t="s">
        <v>183</v>
      </c>
      <c r="I155" s="475" t="s">
        <v>3086</v>
      </c>
      <c r="J155" s="247" t="s">
        <v>97</v>
      </c>
      <c r="K155" s="247" t="s">
        <v>1133</v>
      </c>
      <c r="L155" s="247" t="s">
        <v>154</v>
      </c>
      <c r="M155" s="335"/>
      <c r="N155" s="335"/>
      <c r="O155" s="335"/>
    </row>
    <row r="156" spans="1:15" s="424" customFormat="1">
      <c r="A156" s="474">
        <v>45906</v>
      </c>
      <c r="B156" s="475" t="s">
        <v>3005</v>
      </c>
      <c r="C156" s="475" t="s">
        <v>173</v>
      </c>
      <c r="D156" s="475" t="s">
        <v>120</v>
      </c>
      <c r="E156" s="475">
        <v>1000</v>
      </c>
      <c r="F156" s="463">
        <f t="shared" si="3"/>
        <v>1.8744037053212446</v>
      </c>
      <c r="G156" s="464">
        <v>533.50300000000004</v>
      </c>
      <c r="H156" s="475" t="s">
        <v>183</v>
      </c>
      <c r="I156" s="475" t="s">
        <v>3086</v>
      </c>
      <c r="J156" s="247" t="s">
        <v>97</v>
      </c>
      <c r="K156" s="247" t="s">
        <v>1133</v>
      </c>
      <c r="L156" s="247" t="s">
        <v>154</v>
      </c>
      <c r="M156" s="335"/>
      <c r="N156" s="335"/>
      <c r="O156" s="335"/>
    </row>
    <row r="157" spans="1:15" s="424" customFormat="1">
      <c r="A157" s="474">
        <v>45906</v>
      </c>
      <c r="B157" s="475" t="s">
        <v>3006</v>
      </c>
      <c r="C157" s="475" t="s">
        <v>173</v>
      </c>
      <c r="D157" s="475" t="s">
        <v>120</v>
      </c>
      <c r="E157" s="475">
        <v>1000</v>
      </c>
      <c r="F157" s="463">
        <f t="shared" si="3"/>
        <v>1.8744037053212446</v>
      </c>
      <c r="G157" s="464">
        <v>533.50300000000004</v>
      </c>
      <c r="H157" s="475" t="s">
        <v>183</v>
      </c>
      <c r="I157" s="475" t="s">
        <v>3086</v>
      </c>
      <c r="J157" s="247" t="s">
        <v>97</v>
      </c>
      <c r="K157" s="247" t="s">
        <v>1133</v>
      </c>
      <c r="L157" s="247" t="s">
        <v>154</v>
      </c>
      <c r="M157" s="335"/>
      <c r="N157" s="335"/>
      <c r="O157" s="335"/>
    </row>
    <row r="158" spans="1:15" s="424" customFormat="1">
      <c r="A158" s="474">
        <v>45906</v>
      </c>
      <c r="B158" s="475" t="s">
        <v>3007</v>
      </c>
      <c r="C158" s="475" t="s">
        <v>173</v>
      </c>
      <c r="D158" s="475" t="s">
        <v>120</v>
      </c>
      <c r="E158" s="475">
        <v>1000</v>
      </c>
      <c r="F158" s="463">
        <f t="shared" ref="F158:F221" si="4">E158/G158</f>
        <v>1.8744037053212446</v>
      </c>
      <c r="G158" s="464">
        <v>533.50300000000004</v>
      </c>
      <c r="H158" s="475" t="s">
        <v>183</v>
      </c>
      <c r="I158" s="475" t="s">
        <v>3086</v>
      </c>
      <c r="J158" s="247" t="s">
        <v>97</v>
      </c>
      <c r="K158" s="247" t="s">
        <v>1133</v>
      </c>
      <c r="L158" s="247" t="s">
        <v>154</v>
      </c>
      <c r="M158" s="335"/>
      <c r="N158" s="335"/>
      <c r="O158" s="335"/>
    </row>
    <row r="159" spans="1:15" s="424" customFormat="1">
      <c r="A159" s="474">
        <v>45906</v>
      </c>
      <c r="B159" s="475" t="s">
        <v>3003</v>
      </c>
      <c r="C159" s="475" t="s">
        <v>368</v>
      </c>
      <c r="D159" s="475" t="s">
        <v>120</v>
      </c>
      <c r="E159" s="475">
        <v>2000</v>
      </c>
      <c r="F159" s="463">
        <f t="shared" si="4"/>
        <v>3.7488074106424891</v>
      </c>
      <c r="G159" s="464">
        <v>533.50300000000004</v>
      </c>
      <c r="H159" s="475" t="s">
        <v>183</v>
      </c>
      <c r="I159" s="475" t="s">
        <v>3092</v>
      </c>
      <c r="J159" s="247" t="s">
        <v>97</v>
      </c>
      <c r="K159" s="247" t="s">
        <v>1133</v>
      </c>
      <c r="L159" s="247" t="s">
        <v>154</v>
      </c>
      <c r="M159" s="414"/>
      <c r="N159" s="414"/>
      <c r="O159" s="414"/>
    </row>
    <row r="160" spans="1:15" s="424" customFormat="1">
      <c r="A160" s="476">
        <v>45906</v>
      </c>
      <c r="B160" s="469" t="s">
        <v>3160</v>
      </c>
      <c r="C160" s="469" t="s">
        <v>173</v>
      </c>
      <c r="D160" s="469" t="s">
        <v>120</v>
      </c>
      <c r="E160" s="469">
        <v>1000</v>
      </c>
      <c r="F160" s="463">
        <f t="shared" si="4"/>
        <v>1.8744037053212446</v>
      </c>
      <c r="G160" s="464">
        <v>533.50300000000004</v>
      </c>
      <c r="H160" s="469" t="s">
        <v>174</v>
      </c>
      <c r="I160" s="469" t="s">
        <v>3196</v>
      </c>
      <c r="J160" s="247" t="s">
        <v>97</v>
      </c>
      <c r="K160" s="247" t="s">
        <v>1133</v>
      </c>
      <c r="L160" s="247" t="s">
        <v>154</v>
      </c>
      <c r="M160" s="414"/>
      <c r="N160" s="414"/>
      <c r="O160" s="414"/>
    </row>
    <row r="161" spans="1:15" s="424" customFormat="1">
      <c r="A161" s="476">
        <v>45906</v>
      </c>
      <c r="B161" s="469" t="s">
        <v>3878</v>
      </c>
      <c r="C161" s="469" t="s">
        <v>173</v>
      </c>
      <c r="D161" s="469" t="s">
        <v>120</v>
      </c>
      <c r="E161" s="469">
        <v>3000</v>
      </c>
      <c r="F161" s="463">
        <f t="shared" si="4"/>
        <v>5.6232111159637332</v>
      </c>
      <c r="G161" s="464">
        <v>533.50300000000004</v>
      </c>
      <c r="H161" s="469" t="s">
        <v>174</v>
      </c>
      <c r="I161" s="469" t="s">
        <v>3202</v>
      </c>
      <c r="J161" s="247" t="s">
        <v>97</v>
      </c>
      <c r="K161" s="247" t="s">
        <v>1133</v>
      </c>
      <c r="L161" s="247" t="s">
        <v>154</v>
      </c>
      <c r="M161" s="414"/>
      <c r="N161" s="414"/>
      <c r="O161" s="414"/>
    </row>
    <row r="162" spans="1:15" s="424" customFormat="1">
      <c r="A162" s="476">
        <v>45906</v>
      </c>
      <c r="B162" s="469" t="s">
        <v>4051</v>
      </c>
      <c r="C162" s="469" t="s">
        <v>173</v>
      </c>
      <c r="D162" s="469" t="s">
        <v>120</v>
      </c>
      <c r="E162" s="469">
        <v>1000</v>
      </c>
      <c r="F162" s="463">
        <f t="shared" si="4"/>
        <v>1.8744037053212446</v>
      </c>
      <c r="G162" s="464">
        <v>533.50300000000004</v>
      </c>
      <c r="H162" s="469" t="s">
        <v>174</v>
      </c>
      <c r="I162" s="469" t="s">
        <v>3196</v>
      </c>
      <c r="J162" s="247" t="s">
        <v>97</v>
      </c>
      <c r="K162" s="247" t="s">
        <v>1133</v>
      </c>
      <c r="L162" s="247" t="s">
        <v>154</v>
      </c>
      <c r="M162" s="414"/>
      <c r="N162" s="414"/>
      <c r="O162" s="414"/>
    </row>
    <row r="163" spans="1:15" s="424" customFormat="1">
      <c r="A163" s="476">
        <v>45906</v>
      </c>
      <c r="B163" s="469" t="s">
        <v>4003</v>
      </c>
      <c r="C163" s="469" t="s">
        <v>173</v>
      </c>
      <c r="D163" s="469" t="s">
        <v>120</v>
      </c>
      <c r="E163" s="469">
        <v>1000</v>
      </c>
      <c r="F163" s="463">
        <f t="shared" si="4"/>
        <v>1.8744037053212446</v>
      </c>
      <c r="G163" s="464">
        <v>533.50300000000004</v>
      </c>
      <c r="H163" s="469" t="s">
        <v>174</v>
      </c>
      <c r="I163" s="469" t="s">
        <v>3196</v>
      </c>
      <c r="J163" s="247" t="s">
        <v>97</v>
      </c>
      <c r="K163" s="247" t="s">
        <v>1133</v>
      </c>
      <c r="L163" s="247" t="s">
        <v>154</v>
      </c>
      <c r="M163" s="414"/>
      <c r="N163" s="414"/>
      <c r="O163" s="414"/>
    </row>
    <row r="164" spans="1:15" s="424" customFormat="1">
      <c r="A164" s="476">
        <v>45906</v>
      </c>
      <c r="B164" s="469" t="s">
        <v>4004</v>
      </c>
      <c r="C164" s="469" t="s">
        <v>173</v>
      </c>
      <c r="D164" s="469" t="s">
        <v>120</v>
      </c>
      <c r="E164" s="469">
        <v>1000</v>
      </c>
      <c r="F164" s="463">
        <f t="shared" si="4"/>
        <v>1.8744037053212446</v>
      </c>
      <c r="G164" s="464">
        <v>533.50300000000004</v>
      </c>
      <c r="H164" s="469" t="s">
        <v>174</v>
      </c>
      <c r="I164" s="469" t="s">
        <v>3196</v>
      </c>
      <c r="J164" s="247" t="s">
        <v>97</v>
      </c>
      <c r="K164" s="247" t="s">
        <v>1133</v>
      </c>
      <c r="L164" s="247" t="s">
        <v>154</v>
      </c>
      <c r="M164" s="414"/>
      <c r="N164" s="414"/>
      <c r="O164" s="414"/>
    </row>
    <row r="165" spans="1:15" s="424" customFormat="1">
      <c r="A165" s="476">
        <v>45906</v>
      </c>
      <c r="B165" s="469" t="s">
        <v>4052</v>
      </c>
      <c r="C165" s="469" t="s">
        <v>173</v>
      </c>
      <c r="D165" s="469" t="s">
        <v>120</v>
      </c>
      <c r="E165" s="469">
        <v>1000</v>
      </c>
      <c r="F165" s="463">
        <f t="shared" si="4"/>
        <v>1.8744037053212446</v>
      </c>
      <c r="G165" s="464">
        <v>533.50300000000004</v>
      </c>
      <c r="H165" s="469" t="s">
        <v>174</v>
      </c>
      <c r="I165" s="469" t="s">
        <v>3196</v>
      </c>
      <c r="J165" s="247" t="s">
        <v>97</v>
      </c>
      <c r="K165" s="247" t="s">
        <v>1133</v>
      </c>
      <c r="L165" s="247" t="s">
        <v>154</v>
      </c>
      <c r="M165" s="414"/>
      <c r="N165" s="414"/>
      <c r="O165" s="414"/>
    </row>
    <row r="166" spans="1:15" s="424" customFormat="1">
      <c r="A166" s="476">
        <v>45906</v>
      </c>
      <c r="B166" s="469" t="s">
        <v>3870</v>
      </c>
      <c r="C166" s="469" t="s">
        <v>173</v>
      </c>
      <c r="D166" s="469" t="s">
        <v>120</v>
      </c>
      <c r="E166" s="469">
        <v>3000</v>
      </c>
      <c r="F166" s="463">
        <f t="shared" si="4"/>
        <v>5.6232111159637332</v>
      </c>
      <c r="G166" s="464">
        <v>533.50300000000004</v>
      </c>
      <c r="H166" s="469" t="s">
        <v>174</v>
      </c>
      <c r="I166" s="469" t="s">
        <v>3203</v>
      </c>
      <c r="J166" s="247" t="s">
        <v>97</v>
      </c>
      <c r="K166" s="247" t="s">
        <v>1133</v>
      </c>
      <c r="L166" s="247" t="s">
        <v>154</v>
      </c>
      <c r="M166" s="414"/>
      <c r="N166" s="414"/>
      <c r="O166" s="414"/>
    </row>
    <row r="167" spans="1:15" s="424" customFormat="1">
      <c r="A167" s="476">
        <v>45906</v>
      </c>
      <c r="B167" s="469" t="s">
        <v>3118</v>
      </c>
      <c r="C167" s="469" t="s">
        <v>368</v>
      </c>
      <c r="D167" s="469" t="s">
        <v>120</v>
      </c>
      <c r="E167" s="469">
        <v>1500</v>
      </c>
      <c r="F167" s="463">
        <f t="shared" si="4"/>
        <v>2.8116055579818666</v>
      </c>
      <c r="G167" s="464">
        <v>533.50300000000004</v>
      </c>
      <c r="H167" s="469" t="s">
        <v>174</v>
      </c>
      <c r="I167" s="469" t="s">
        <v>3201</v>
      </c>
      <c r="J167" s="247" t="s">
        <v>97</v>
      </c>
      <c r="K167" s="247" t="s">
        <v>1133</v>
      </c>
      <c r="L167" s="247" t="s">
        <v>154</v>
      </c>
      <c r="M167" s="414"/>
      <c r="N167" s="414"/>
      <c r="O167" s="414"/>
    </row>
    <row r="168" spans="1:15" s="331" customFormat="1">
      <c r="A168" s="476">
        <v>45906</v>
      </c>
      <c r="B168" s="469" t="s">
        <v>4053</v>
      </c>
      <c r="C168" s="469" t="s">
        <v>173</v>
      </c>
      <c r="D168" s="469" t="s">
        <v>120</v>
      </c>
      <c r="E168" s="469">
        <v>1000</v>
      </c>
      <c r="F168" s="463">
        <f t="shared" si="4"/>
        <v>1.8744037053212446</v>
      </c>
      <c r="G168" s="464">
        <v>533.50300000000004</v>
      </c>
      <c r="H168" s="469" t="s">
        <v>174</v>
      </c>
      <c r="I168" s="469" t="s">
        <v>3196</v>
      </c>
      <c r="J168" s="247" t="s">
        <v>97</v>
      </c>
      <c r="K168" s="247" t="s">
        <v>1133</v>
      </c>
      <c r="L168" s="247" t="s">
        <v>154</v>
      </c>
      <c r="M168" s="414"/>
      <c r="N168" s="414"/>
      <c r="O168" s="414"/>
    </row>
    <row r="169" spans="1:15" s="331" customFormat="1">
      <c r="A169" s="476">
        <v>45906</v>
      </c>
      <c r="B169" s="469" t="s">
        <v>3226</v>
      </c>
      <c r="C169" s="469" t="s">
        <v>173</v>
      </c>
      <c r="D169" s="469" t="s">
        <v>120</v>
      </c>
      <c r="E169" s="469">
        <v>700</v>
      </c>
      <c r="F169" s="463">
        <f t="shared" si="4"/>
        <v>1.3120825937248712</v>
      </c>
      <c r="G169" s="464">
        <v>533.50300000000004</v>
      </c>
      <c r="H169" s="469" t="s">
        <v>316</v>
      </c>
      <c r="I169" s="469" t="s">
        <v>3260</v>
      </c>
      <c r="J169" s="247" t="s">
        <v>97</v>
      </c>
      <c r="K169" s="247" t="s">
        <v>1133</v>
      </c>
      <c r="L169" s="247" t="s">
        <v>154</v>
      </c>
      <c r="M169" s="335"/>
      <c r="N169" s="335"/>
      <c r="O169" s="335"/>
    </row>
    <row r="170" spans="1:15" s="331" customFormat="1">
      <c r="A170" s="476">
        <v>45906</v>
      </c>
      <c r="B170" s="469" t="s">
        <v>3221</v>
      </c>
      <c r="C170" s="469" t="s">
        <v>365</v>
      </c>
      <c r="D170" s="469" t="s">
        <v>120</v>
      </c>
      <c r="E170" s="469">
        <v>1500</v>
      </c>
      <c r="F170" s="463">
        <f t="shared" si="4"/>
        <v>2.8116055579818666</v>
      </c>
      <c r="G170" s="464">
        <v>533.50300000000004</v>
      </c>
      <c r="H170" s="469" t="s">
        <v>316</v>
      </c>
      <c r="I170" s="469" t="s">
        <v>3263</v>
      </c>
      <c r="J170" s="247" t="s">
        <v>97</v>
      </c>
      <c r="K170" s="247" t="s">
        <v>1133</v>
      </c>
      <c r="L170" s="247" t="s">
        <v>154</v>
      </c>
      <c r="M170" s="335"/>
      <c r="N170" s="335"/>
      <c r="O170" s="335"/>
    </row>
    <row r="171" spans="1:15" s="331" customFormat="1">
      <c r="A171" s="476">
        <v>45906</v>
      </c>
      <c r="B171" s="469" t="s">
        <v>3227</v>
      </c>
      <c r="C171" s="469" t="s">
        <v>173</v>
      </c>
      <c r="D171" s="469" t="s">
        <v>120</v>
      </c>
      <c r="E171" s="469">
        <v>700</v>
      </c>
      <c r="F171" s="463">
        <f t="shared" si="4"/>
        <v>1.3120825937248712</v>
      </c>
      <c r="G171" s="464">
        <v>533.50300000000004</v>
      </c>
      <c r="H171" s="469" t="s">
        <v>316</v>
      </c>
      <c r="I171" s="469" t="s">
        <v>3260</v>
      </c>
      <c r="J171" s="247" t="s">
        <v>97</v>
      </c>
      <c r="K171" s="247" t="s">
        <v>1133</v>
      </c>
      <c r="L171" s="247" t="s">
        <v>154</v>
      </c>
      <c r="M171" s="335"/>
      <c r="N171" s="335"/>
      <c r="O171" s="335"/>
    </row>
    <row r="172" spans="1:15" s="331" customFormat="1">
      <c r="A172" s="476">
        <v>45906</v>
      </c>
      <c r="B172" s="469" t="s">
        <v>3228</v>
      </c>
      <c r="C172" s="469" t="s">
        <v>173</v>
      </c>
      <c r="D172" s="469" t="s">
        <v>120</v>
      </c>
      <c r="E172" s="469">
        <v>700</v>
      </c>
      <c r="F172" s="463">
        <f t="shared" si="4"/>
        <v>1.3120825937248712</v>
      </c>
      <c r="G172" s="464">
        <v>533.50300000000004</v>
      </c>
      <c r="H172" s="469" t="s">
        <v>316</v>
      </c>
      <c r="I172" s="469" t="s">
        <v>3260</v>
      </c>
      <c r="J172" s="247" t="s">
        <v>97</v>
      </c>
      <c r="K172" s="247" t="s">
        <v>1133</v>
      </c>
      <c r="L172" s="247" t="s">
        <v>154</v>
      </c>
      <c r="M172" s="335"/>
      <c r="N172" s="335"/>
      <c r="O172" s="335"/>
    </row>
    <row r="173" spans="1:15" s="331" customFormat="1">
      <c r="A173" s="476">
        <v>45906</v>
      </c>
      <c r="B173" s="469" t="s">
        <v>3221</v>
      </c>
      <c r="C173" s="469" t="s">
        <v>365</v>
      </c>
      <c r="D173" s="469" t="s">
        <v>120</v>
      </c>
      <c r="E173" s="469">
        <v>2000</v>
      </c>
      <c r="F173" s="463">
        <f t="shared" si="4"/>
        <v>3.7488074106424891</v>
      </c>
      <c r="G173" s="464">
        <v>533.50300000000004</v>
      </c>
      <c r="H173" s="469" t="s">
        <v>316</v>
      </c>
      <c r="I173" s="469" t="s">
        <v>3263</v>
      </c>
      <c r="J173" s="247" t="s">
        <v>97</v>
      </c>
      <c r="K173" s="247" t="s">
        <v>1133</v>
      </c>
      <c r="L173" s="247" t="s">
        <v>154</v>
      </c>
      <c r="M173" s="335"/>
      <c r="N173" s="335"/>
      <c r="O173" s="335"/>
    </row>
    <row r="174" spans="1:15" s="331" customFormat="1">
      <c r="A174" s="476">
        <v>45906</v>
      </c>
      <c r="B174" s="469" t="s">
        <v>3229</v>
      </c>
      <c r="C174" s="469" t="s">
        <v>173</v>
      </c>
      <c r="D174" s="469" t="s">
        <v>120</v>
      </c>
      <c r="E174" s="469">
        <v>700</v>
      </c>
      <c r="F174" s="463">
        <f t="shared" si="4"/>
        <v>1.3120825937248712</v>
      </c>
      <c r="G174" s="464">
        <v>533.50300000000004</v>
      </c>
      <c r="H174" s="469" t="s">
        <v>316</v>
      </c>
      <c r="I174" s="469" t="s">
        <v>3260</v>
      </c>
      <c r="J174" s="247" t="s">
        <v>97</v>
      </c>
      <c r="K174" s="247" t="s">
        <v>1133</v>
      </c>
      <c r="L174" s="247" t="s">
        <v>154</v>
      </c>
      <c r="M174" s="335"/>
      <c r="N174" s="335"/>
      <c r="O174" s="335"/>
    </row>
    <row r="175" spans="1:15" s="331" customFormat="1">
      <c r="A175" s="471">
        <v>45906</v>
      </c>
      <c r="B175" s="469" t="s">
        <v>3342</v>
      </c>
      <c r="C175" s="247" t="s">
        <v>176</v>
      </c>
      <c r="D175" s="247" t="s">
        <v>116</v>
      </c>
      <c r="E175" s="468">
        <v>15000</v>
      </c>
      <c r="F175" s="463">
        <f t="shared" si="4"/>
        <v>28.116055579818667</v>
      </c>
      <c r="G175" s="464">
        <v>533.50300000000004</v>
      </c>
      <c r="H175" s="247" t="s">
        <v>192</v>
      </c>
      <c r="I175" s="469" t="s">
        <v>3366</v>
      </c>
      <c r="J175" s="247" t="s">
        <v>97</v>
      </c>
      <c r="K175" s="247" t="s">
        <v>1133</v>
      </c>
      <c r="L175" s="247" t="s">
        <v>154</v>
      </c>
      <c r="M175" s="335"/>
      <c r="N175" s="127"/>
      <c r="O175" s="127"/>
    </row>
    <row r="176" spans="1:15" s="331" customFormat="1">
      <c r="A176" s="471">
        <v>45906</v>
      </c>
      <c r="B176" s="469" t="s">
        <v>2645</v>
      </c>
      <c r="C176" s="247" t="s">
        <v>173</v>
      </c>
      <c r="D176" s="247" t="s">
        <v>116</v>
      </c>
      <c r="E176" s="468">
        <v>500</v>
      </c>
      <c r="F176" s="463">
        <f t="shared" si="4"/>
        <v>0.93720185266062228</v>
      </c>
      <c r="G176" s="464">
        <v>533.50300000000004</v>
      </c>
      <c r="H176" s="247" t="s">
        <v>192</v>
      </c>
      <c r="I176" s="469" t="s">
        <v>3360</v>
      </c>
      <c r="J176" s="247" t="s">
        <v>97</v>
      </c>
      <c r="K176" s="247" t="s">
        <v>1133</v>
      </c>
      <c r="L176" s="247" t="s">
        <v>154</v>
      </c>
      <c r="M176" s="335"/>
      <c r="N176" s="127"/>
      <c r="O176" s="127"/>
    </row>
    <row r="177" spans="1:15" s="331" customFormat="1">
      <c r="A177" s="471">
        <v>45906</v>
      </c>
      <c r="B177" s="469" t="s">
        <v>3343</v>
      </c>
      <c r="C177" s="247" t="s">
        <v>173</v>
      </c>
      <c r="D177" s="247" t="s">
        <v>116</v>
      </c>
      <c r="E177" s="468">
        <v>500</v>
      </c>
      <c r="F177" s="463">
        <f t="shared" si="4"/>
        <v>0.93720185266062228</v>
      </c>
      <c r="G177" s="464">
        <v>533.50300000000004</v>
      </c>
      <c r="H177" s="247" t="s">
        <v>192</v>
      </c>
      <c r="I177" s="469" t="s">
        <v>3360</v>
      </c>
      <c r="J177" s="247" t="s">
        <v>97</v>
      </c>
      <c r="K177" s="247" t="s">
        <v>1133</v>
      </c>
      <c r="L177" s="247" t="s">
        <v>154</v>
      </c>
      <c r="M177" s="414"/>
      <c r="N177" s="76"/>
      <c r="O177" s="76"/>
    </row>
    <row r="178" spans="1:15" s="422" customFormat="1" ht="13.2" customHeight="1">
      <c r="A178" s="461">
        <v>45906</v>
      </c>
      <c r="B178" s="469" t="s">
        <v>3383</v>
      </c>
      <c r="C178" s="359" t="s">
        <v>195</v>
      </c>
      <c r="D178" s="359" t="s">
        <v>116</v>
      </c>
      <c r="E178" s="472">
        <v>500</v>
      </c>
      <c r="F178" s="463">
        <f t="shared" si="4"/>
        <v>0.93720185266062228</v>
      </c>
      <c r="G178" s="464">
        <v>533.50300000000004</v>
      </c>
      <c r="H178" s="360" t="s">
        <v>437</v>
      </c>
      <c r="I178" s="469" t="s">
        <v>3411</v>
      </c>
      <c r="J178" s="247" t="s">
        <v>97</v>
      </c>
      <c r="K178" s="247" t="s">
        <v>1133</v>
      </c>
      <c r="L178" s="247" t="s">
        <v>154</v>
      </c>
      <c r="M178" s="414"/>
      <c r="N178" s="76"/>
      <c r="O178" s="76"/>
    </row>
    <row r="179" spans="1:15" s="331" customFormat="1">
      <c r="A179" s="461">
        <v>45906</v>
      </c>
      <c r="B179" s="469" t="s">
        <v>3381</v>
      </c>
      <c r="C179" s="359" t="s">
        <v>195</v>
      </c>
      <c r="D179" s="359" t="s">
        <v>116</v>
      </c>
      <c r="E179" s="472">
        <v>500</v>
      </c>
      <c r="F179" s="463">
        <f t="shared" si="4"/>
        <v>0.93720185266062228</v>
      </c>
      <c r="G179" s="464">
        <v>533.50300000000004</v>
      </c>
      <c r="H179" s="360" t="s">
        <v>437</v>
      </c>
      <c r="I179" s="469" t="s">
        <v>3411</v>
      </c>
      <c r="J179" s="247" t="s">
        <v>97</v>
      </c>
      <c r="K179" s="247" t="s">
        <v>1133</v>
      </c>
      <c r="L179" s="247" t="s">
        <v>154</v>
      </c>
      <c r="M179" s="414"/>
      <c r="N179" s="76"/>
      <c r="O179" s="76"/>
    </row>
    <row r="180" spans="1:15" s="331" customFormat="1">
      <c r="A180" s="461">
        <v>45906</v>
      </c>
      <c r="B180" s="469" t="s">
        <v>3377</v>
      </c>
      <c r="C180" s="359" t="s">
        <v>195</v>
      </c>
      <c r="D180" s="359" t="s">
        <v>116</v>
      </c>
      <c r="E180" s="472">
        <v>500</v>
      </c>
      <c r="F180" s="463">
        <f t="shared" si="4"/>
        <v>0.93720185266062228</v>
      </c>
      <c r="G180" s="464">
        <v>533.50300000000004</v>
      </c>
      <c r="H180" s="360" t="s">
        <v>437</v>
      </c>
      <c r="I180" s="469" t="s">
        <v>3411</v>
      </c>
      <c r="J180" s="247" t="s">
        <v>97</v>
      </c>
      <c r="K180" s="247" t="s">
        <v>1133</v>
      </c>
      <c r="L180" s="247" t="s">
        <v>154</v>
      </c>
      <c r="M180" s="414"/>
      <c r="N180" s="76"/>
      <c r="O180" s="76"/>
    </row>
    <row r="181" spans="1:15" s="331" customFormat="1">
      <c r="A181" s="461">
        <v>45907</v>
      </c>
      <c r="B181" s="469" t="s">
        <v>3382</v>
      </c>
      <c r="C181" s="359" t="s">
        <v>195</v>
      </c>
      <c r="D181" s="359" t="s">
        <v>116</v>
      </c>
      <c r="E181" s="472">
        <v>500</v>
      </c>
      <c r="F181" s="463">
        <f t="shared" si="4"/>
        <v>0.93720185266062228</v>
      </c>
      <c r="G181" s="464">
        <v>533.50300000000004</v>
      </c>
      <c r="H181" s="360" t="s">
        <v>437</v>
      </c>
      <c r="I181" s="469" t="s">
        <v>3411</v>
      </c>
      <c r="J181" s="247" t="s">
        <v>97</v>
      </c>
      <c r="K181" s="247" t="s">
        <v>1133</v>
      </c>
      <c r="L181" s="247" t="s">
        <v>154</v>
      </c>
      <c r="M181" s="414"/>
      <c r="N181" s="76"/>
      <c r="O181" s="76"/>
    </row>
    <row r="182" spans="1:15" s="331" customFormat="1">
      <c r="A182" s="476">
        <v>45907</v>
      </c>
      <c r="B182" s="359" t="s">
        <v>2849</v>
      </c>
      <c r="C182" s="462" t="s">
        <v>126</v>
      </c>
      <c r="D182" s="462" t="s">
        <v>118</v>
      </c>
      <c r="E182" s="359">
        <v>174625</v>
      </c>
      <c r="F182" s="463">
        <f t="shared" si="4"/>
        <v>327.31774704172233</v>
      </c>
      <c r="G182" s="464">
        <v>533.50300000000004</v>
      </c>
      <c r="H182" s="465" t="s">
        <v>152</v>
      </c>
      <c r="I182" s="469" t="s">
        <v>2871</v>
      </c>
      <c r="J182" s="247" t="s">
        <v>97</v>
      </c>
      <c r="K182" s="247" t="s">
        <v>1133</v>
      </c>
      <c r="L182" s="247" t="s">
        <v>154</v>
      </c>
      <c r="M182" s="335"/>
      <c r="N182" s="335"/>
      <c r="O182" s="335"/>
    </row>
    <row r="183" spans="1:15" s="331" customFormat="1">
      <c r="A183" s="476">
        <v>45907</v>
      </c>
      <c r="B183" s="359" t="s">
        <v>2100</v>
      </c>
      <c r="C183" s="462" t="s">
        <v>173</v>
      </c>
      <c r="D183" s="462" t="s">
        <v>118</v>
      </c>
      <c r="E183" s="359">
        <v>1000</v>
      </c>
      <c r="F183" s="463">
        <f t="shared" si="4"/>
        <v>1.8744037053212446</v>
      </c>
      <c r="G183" s="464">
        <v>533.50300000000004</v>
      </c>
      <c r="H183" s="465" t="s">
        <v>152</v>
      </c>
      <c r="I183" s="469" t="s">
        <v>2868</v>
      </c>
      <c r="J183" s="247" t="s">
        <v>97</v>
      </c>
      <c r="K183" s="247" t="s">
        <v>1133</v>
      </c>
      <c r="L183" s="247" t="s">
        <v>154</v>
      </c>
      <c r="M183" s="335"/>
      <c r="N183" s="335"/>
      <c r="O183" s="335"/>
    </row>
    <row r="184" spans="1:15" s="331" customFormat="1">
      <c r="A184" s="476">
        <v>45907</v>
      </c>
      <c r="B184" s="359" t="s">
        <v>2101</v>
      </c>
      <c r="C184" s="462" t="s">
        <v>173</v>
      </c>
      <c r="D184" s="462" t="s">
        <v>118</v>
      </c>
      <c r="E184" s="359">
        <v>1000</v>
      </c>
      <c r="F184" s="463">
        <f t="shared" si="4"/>
        <v>1.8744037053212446</v>
      </c>
      <c r="G184" s="464">
        <v>533.50300000000004</v>
      </c>
      <c r="H184" s="465" t="s">
        <v>152</v>
      </c>
      <c r="I184" s="469" t="s">
        <v>2868</v>
      </c>
      <c r="J184" s="247" t="s">
        <v>97</v>
      </c>
      <c r="K184" s="247" t="s">
        <v>1133</v>
      </c>
      <c r="L184" s="247" t="s">
        <v>154</v>
      </c>
      <c r="M184" s="335"/>
      <c r="N184" s="335"/>
      <c r="O184" s="335"/>
    </row>
    <row r="185" spans="1:15" s="331" customFormat="1">
      <c r="A185" s="474">
        <v>45907</v>
      </c>
      <c r="B185" s="216" t="s">
        <v>2419</v>
      </c>
      <c r="C185" s="216" t="s">
        <v>173</v>
      </c>
      <c r="D185" s="337" t="s">
        <v>116</v>
      </c>
      <c r="E185" s="475">
        <v>500</v>
      </c>
      <c r="F185" s="463">
        <f t="shared" si="4"/>
        <v>0.93720185266062228</v>
      </c>
      <c r="G185" s="464">
        <v>533.50300000000004</v>
      </c>
      <c r="H185" s="339" t="s">
        <v>1508</v>
      </c>
      <c r="I185" s="216" t="s">
        <v>2911</v>
      </c>
      <c r="J185" s="247" t="s">
        <v>97</v>
      </c>
      <c r="K185" s="247" t="s">
        <v>1133</v>
      </c>
      <c r="L185" s="247" t="s">
        <v>154</v>
      </c>
      <c r="M185" s="414"/>
      <c r="N185" s="414"/>
      <c r="O185" s="414"/>
    </row>
    <row r="186" spans="1:15" s="331" customFormat="1">
      <c r="A186" s="474">
        <v>45907</v>
      </c>
      <c r="B186" s="216" t="s">
        <v>2418</v>
      </c>
      <c r="C186" s="216" t="s">
        <v>173</v>
      </c>
      <c r="D186" s="337" t="s">
        <v>116</v>
      </c>
      <c r="E186" s="475">
        <v>500</v>
      </c>
      <c r="F186" s="463">
        <f t="shared" si="4"/>
        <v>0.93720185266062228</v>
      </c>
      <c r="G186" s="464">
        <v>533.50300000000004</v>
      </c>
      <c r="H186" s="339" t="s">
        <v>1508</v>
      </c>
      <c r="I186" s="216" t="s">
        <v>2911</v>
      </c>
      <c r="J186" s="247" t="s">
        <v>97</v>
      </c>
      <c r="K186" s="247" t="s">
        <v>1133</v>
      </c>
      <c r="L186" s="247" t="s">
        <v>154</v>
      </c>
      <c r="M186" s="414"/>
      <c r="N186" s="414"/>
      <c r="O186" s="414"/>
    </row>
    <row r="187" spans="1:15" s="331" customFormat="1">
      <c r="A187" s="474">
        <v>45907</v>
      </c>
      <c r="B187" s="216" t="s">
        <v>2882</v>
      </c>
      <c r="C187" s="216" t="s">
        <v>173</v>
      </c>
      <c r="D187" s="337" t="s">
        <v>116</v>
      </c>
      <c r="E187" s="475">
        <v>50000</v>
      </c>
      <c r="F187" s="463">
        <f t="shared" si="4"/>
        <v>93.720185266062231</v>
      </c>
      <c r="G187" s="464">
        <v>533.50300000000004</v>
      </c>
      <c r="H187" s="339" t="s">
        <v>1508</v>
      </c>
      <c r="I187" s="216" t="s">
        <v>2912</v>
      </c>
      <c r="J187" s="247" t="s">
        <v>97</v>
      </c>
      <c r="K187" s="247" t="s">
        <v>1133</v>
      </c>
      <c r="L187" s="247" t="s">
        <v>154</v>
      </c>
      <c r="M187" s="414"/>
      <c r="N187" s="414"/>
      <c r="O187" s="414"/>
    </row>
    <row r="188" spans="1:15" s="331" customFormat="1">
      <c r="A188" s="474">
        <v>45907</v>
      </c>
      <c r="B188" s="216" t="s">
        <v>3611</v>
      </c>
      <c r="C188" s="216" t="s">
        <v>2391</v>
      </c>
      <c r="D188" s="337" t="s">
        <v>116</v>
      </c>
      <c r="E188" s="475">
        <v>24400</v>
      </c>
      <c r="F188" s="463">
        <f t="shared" si="4"/>
        <v>45.735450409838364</v>
      </c>
      <c r="G188" s="464">
        <v>533.50300000000004</v>
      </c>
      <c r="H188" s="339" t="s">
        <v>1508</v>
      </c>
      <c r="I188" s="216" t="s">
        <v>2913</v>
      </c>
      <c r="J188" s="247" t="s">
        <v>97</v>
      </c>
      <c r="K188" s="247" t="s">
        <v>1133</v>
      </c>
      <c r="L188" s="247" t="s">
        <v>154</v>
      </c>
      <c r="M188" s="414"/>
      <c r="N188" s="414"/>
      <c r="O188" s="414"/>
    </row>
    <row r="189" spans="1:15" s="331" customFormat="1">
      <c r="A189" s="474">
        <v>45907</v>
      </c>
      <c r="B189" s="475" t="s">
        <v>3008</v>
      </c>
      <c r="C189" s="475" t="s">
        <v>173</v>
      </c>
      <c r="D189" s="475" t="s">
        <v>120</v>
      </c>
      <c r="E189" s="475">
        <v>1000</v>
      </c>
      <c r="F189" s="463">
        <f t="shared" si="4"/>
        <v>1.8744037053212446</v>
      </c>
      <c r="G189" s="464">
        <v>533.50300000000004</v>
      </c>
      <c r="H189" s="475" t="s">
        <v>183</v>
      </c>
      <c r="I189" s="475" t="s">
        <v>3086</v>
      </c>
      <c r="J189" s="247" t="s">
        <v>97</v>
      </c>
      <c r="K189" s="247" t="s">
        <v>1133</v>
      </c>
      <c r="L189" s="247" t="s">
        <v>154</v>
      </c>
      <c r="M189" s="414"/>
      <c r="N189" s="414"/>
      <c r="O189" s="414"/>
    </row>
    <row r="190" spans="1:15" s="331" customFormat="1">
      <c r="A190" s="474">
        <v>45907</v>
      </c>
      <c r="B190" s="475" t="s">
        <v>3009</v>
      </c>
      <c r="C190" s="475" t="s">
        <v>173</v>
      </c>
      <c r="D190" s="475" t="s">
        <v>120</v>
      </c>
      <c r="E190" s="475">
        <v>1000</v>
      </c>
      <c r="F190" s="463">
        <f t="shared" si="4"/>
        <v>1.8744037053212446</v>
      </c>
      <c r="G190" s="464">
        <v>533.50300000000004</v>
      </c>
      <c r="H190" s="475" t="s">
        <v>183</v>
      </c>
      <c r="I190" s="475" t="s">
        <v>3086</v>
      </c>
      <c r="J190" s="247" t="s">
        <v>97</v>
      </c>
      <c r="K190" s="247" t="s">
        <v>1133</v>
      </c>
      <c r="L190" s="247" t="s">
        <v>154</v>
      </c>
      <c r="M190" s="414"/>
      <c r="N190" s="414"/>
      <c r="O190" s="414"/>
    </row>
    <row r="191" spans="1:15" s="331" customFormat="1">
      <c r="A191" s="474">
        <v>45907</v>
      </c>
      <c r="B191" s="475" t="s">
        <v>3010</v>
      </c>
      <c r="C191" s="475" t="s">
        <v>173</v>
      </c>
      <c r="D191" s="475" t="s">
        <v>120</v>
      </c>
      <c r="E191" s="475">
        <v>1000</v>
      </c>
      <c r="F191" s="463">
        <f t="shared" si="4"/>
        <v>1.8744037053212446</v>
      </c>
      <c r="G191" s="464">
        <v>533.50300000000004</v>
      </c>
      <c r="H191" s="475" t="s">
        <v>183</v>
      </c>
      <c r="I191" s="475" t="s">
        <v>3086</v>
      </c>
      <c r="J191" s="247" t="s">
        <v>97</v>
      </c>
      <c r="K191" s="247" t="s">
        <v>1133</v>
      </c>
      <c r="L191" s="247" t="s">
        <v>154</v>
      </c>
      <c r="M191" s="414"/>
      <c r="N191" s="414"/>
      <c r="O191" s="414"/>
    </row>
    <row r="192" spans="1:15" s="331" customFormat="1">
      <c r="A192" s="474">
        <v>45907</v>
      </c>
      <c r="B192" s="475" t="s">
        <v>3011</v>
      </c>
      <c r="C192" s="475" t="s">
        <v>173</v>
      </c>
      <c r="D192" s="475" t="s">
        <v>120</v>
      </c>
      <c r="E192" s="475">
        <v>1000</v>
      </c>
      <c r="F192" s="463">
        <f t="shared" si="4"/>
        <v>1.8744037053212446</v>
      </c>
      <c r="G192" s="464">
        <v>533.50300000000004</v>
      </c>
      <c r="H192" s="475" t="s">
        <v>183</v>
      </c>
      <c r="I192" s="475" t="s">
        <v>3086</v>
      </c>
      <c r="J192" s="247" t="s">
        <v>97</v>
      </c>
      <c r="K192" s="247" t="s">
        <v>1133</v>
      </c>
      <c r="L192" s="247" t="s">
        <v>154</v>
      </c>
      <c r="M192" s="414"/>
      <c r="N192" s="414"/>
      <c r="O192" s="414"/>
    </row>
    <row r="193" spans="1:15" s="331" customFormat="1">
      <c r="A193" s="474">
        <v>45907</v>
      </c>
      <c r="B193" s="475" t="s">
        <v>3012</v>
      </c>
      <c r="C193" s="475" t="s">
        <v>173</v>
      </c>
      <c r="D193" s="475" t="s">
        <v>120</v>
      </c>
      <c r="E193" s="475">
        <v>1000</v>
      </c>
      <c r="F193" s="463">
        <f t="shared" si="4"/>
        <v>1.8744037053212446</v>
      </c>
      <c r="G193" s="464">
        <v>533.50300000000004</v>
      </c>
      <c r="H193" s="475" t="s">
        <v>183</v>
      </c>
      <c r="I193" s="475" t="s">
        <v>3086</v>
      </c>
      <c r="J193" s="247" t="s">
        <v>97</v>
      </c>
      <c r="K193" s="247" t="s">
        <v>1133</v>
      </c>
      <c r="L193" s="247" t="s">
        <v>154</v>
      </c>
      <c r="M193" s="414"/>
      <c r="N193" s="414"/>
      <c r="O193" s="414"/>
    </row>
    <row r="194" spans="1:15" s="331" customFormat="1">
      <c r="A194" s="474">
        <v>45907</v>
      </c>
      <c r="B194" s="475" t="s">
        <v>3013</v>
      </c>
      <c r="C194" s="475" t="s">
        <v>173</v>
      </c>
      <c r="D194" s="475" t="s">
        <v>120</v>
      </c>
      <c r="E194" s="475">
        <v>1000</v>
      </c>
      <c r="F194" s="463">
        <f t="shared" si="4"/>
        <v>1.8744037053212446</v>
      </c>
      <c r="G194" s="464">
        <v>533.50300000000004</v>
      </c>
      <c r="H194" s="475" t="s">
        <v>183</v>
      </c>
      <c r="I194" s="475" t="s">
        <v>3086</v>
      </c>
      <c r="J194" s="247" t="s">
        <v>97</v>
      </c>
      <c r="K194" s="247" t="s">
        <v>1133</v>
      </c>
      <c r="L194" s="247" t="s">
        <v>154</v>
      </c>
      <c r="M194" s="414"/>
      <c r="N194" s="414"/>
      <c r="O194" s="414"/>
    </row>
    <row r="195" spans="1:15" s="331" customFormat="1">
      <c r="A195" s="474">
        <v>45907</v>
      </c>
      <c r="B195" s="475" t="s">
        <v>3003</v>
      </c>
      <c r="C195" s="475" t="s">
        <v>368</v>
      </c>
      <c r="D195" s="475" t="s">
        <v>120</v>
      </c>
      <c r="E195" s="475">
        <v>2000</v>
      </c>
      <c r="F195" s="463">
        <f t="shared" si="4"/>
        <v>3.7488074106424891</v>
      </c>
      <c r="G195" s="464">
        <v>533.50300000000004</v>
      </c>
      <c r="H195" s="475" t="s">
        <v>183</v>
      </c>
      <c r="I195" s="475" t="s">
        <v>3092</v>
      </c>
      <c r="J195" s="247" t="s">
        <v>97</v>
      </c>
      <c r="K195" s="247" t="s">
        <v>1133</v>
      </c>
      <c r="L195" s="247" t="s">
        <v>154</v>
      </c>
      <c r="M195" s="414"/>
      <c r="N195" s="414"/>
      <c r="O195" s="414"/>
    </row>
    <row r="196" spans="1:15" s="331" customFormat="1">
      <c r="A196" s="476">
        <v>45907</v>
      </c>
      <c r="B196" s="469" t="s">
        <v>4008</v>
      </c>
      <c r="C196" s="469" t="s">
        <v>173</v>
      </c>
      <c r="D196" s="469" t="s">
        <v>120</v>
      </c>
      <c r="E196" s="469">
        <v>1000</v>
      </c>
      <c r="F196" s="463">
        <f t="shared" si="4"/>
        <v>1.8744037053212446</v>
      </c>
      <c r="G196" s="464">
        <v>533.50300000000004</v>
      </c>
      <c r="H196" s="469" t="s">
        <v>174</v>
      </c>
      <c r="I196" s="469" t="s">
        <v>3196</v>
      </c>
      <c r="J196" s="247" t="s">
        <v>97</v>
      </c>
      <c r="K196" s="247" t="s">
        <v>1133</v>
      </c>
      <c r="L196" s="247" t="s">
        <v>154</v>
      </c>
      <c r="M196" s="414"/>
      <c r="N196" s="414"/>
      <c r="O196" s="414"/>
    </row>
    <row r="197" spans="1:15" s="331" customFormat="1">
      <c r="A197" s="476">
        <v>45907</v>
      </c>
      <c r="B197" s="469" t="s">
        <v>4009</v>
      </c>
      <c r="C197" s="469" t="s">
        <v>173</v>
      </c>
      <c r="D197" s="469" t="s">
        <v>120</v>
      </c>
      <c r="E197" s="469">
        <v>1000</v>
      </c>
      <c r="F197" s="463">
        <f t="shared" si="4"/>
        <v>1.8744037053212446</v>
      </c>
      <c r="G197" s="464">
        <v>533.50300000000004</v>
      </c>
      <c r="H197" s="469" t="s">
        <v>174</v>
      </c>
      <c r="I197" s="469" t="s">
        <v>3196</v>
      </c>
      <c r="J197" s="247" t="s">
        <v>97</v>
      </c>
      <c r="K197" s="247" t="s">
        <v>1133</v>
      </c>
      <c r="L197" s="247" t="s">
        <v>154</v>
      </c>
      <c r="M197" s="414"/>
      <c r="N197" s="414"/>
      <c r="O197" s="414"/>
    </row>
    <row r="198" spans="1:15" s="331" customFormat="1">
      <c r="A198" s="476">
        <v>45907</v>
      </c>
      <c r="B198" s="469" t="s">
        <v>4010</v>
      </c>
      <c r="C198" s="469" t="s">
        <v>173</v>
      </c>
      <c r="D198" s="469" t="s">
        <v>120</v>
      </c>
      <c r="E198" s="469">
        <v>1000</v>
      </c>
      <c r="F198" s="463">
        <f t="shared" si="4"/>
        <v>1.8744037053212446</v>
      </c>
      <c r="G198" s="464">
        <v>533.50300000000004</v>
      </c>
      <c r="H198" s="469" t="s">
        <v>174</v>
      </c>
      <c r="I198" s="469" t="s">
        <v>3196</v>
      </c>
      <c r="J198" s="247" t="s">
        <v>97</v>
      </c>
      <c r="K198" s="247" t="s">
        <v>1133</v>
      </c>
      <c r="L198" s="247" t="s">
        <v>154</v>
      </c>
      <c r="M198" s="414"/>
      <c r="N198" s="414"/>
      <c r="O198" s="414"/>
    </row>
    <row r="199" spans="1:15" s="331" customFormat="1">
      <c r="A199" s="476">
        <v>45907</v>
      </c>
      <c r="B199" s="469" t="s">
        <v>4054</v>
      </c>
      <c r="C199" s="469" t="s">
        <v>173</v>
      </c>
      <c r="D199" s="469" t="s">
        <v>120</v>
      </c>
      <c r="E199" s="469">
        <v>1000</v>
      </c>
      <c r="F199" s="463">
        <f t="shared" si="4"/>
        <v>1.8744037053212446</v>
      </c>
      <c r="G199" s="464">
        <v>533.50300000000004</v>
      </c>
      <c r="H199" s="469" t="s">
        <v>174</v>
      </c>
      <c r="I199" s="469" t="s">
        <v>3196</v>
      </c>
      <c r="J199" s="247" t="s">
        <v>97</v>
      </c>
      <c r="K199" s="247" t="s">
        <v>1133</v>
      </c>
      <c r="L199" s="247" t="s">
        <v>154</v>
      </c>
      <c r="M199" s="414"/>
      <c r="N199" s="414"/>
      <c r="O199" s="414"/>
    </row>
    <row r="200" spans="1:15" s="331" customFormat="1">
      <c r="A200" s="476">
        <v>45907</v>
      </c>
      <c r="B200" s="469" t="s">
        <v>3118</v>
      </c>
      <c r="C200" s="469" t="s">
        <v>368</v>
      </c>
      <c r="D200" s="469" t="s">
        <v>120</v>
      </c>
      <c r="E200" s="469">
        <v>1000</v>
      </c>
      <c r="F200" s="463">
        <f t="shared" si="4"/>
        <v>1.8744037053212446</v>
      </c>
      <c r="G200" s="464">
        <v>533.50300000000004</v>
      </c>
      <c r="H200" s="469" t="s">
        <v>174</v>
      </c>
      <c r="I200" s="469" t="s">
        <v>3201</v>
      </c>
      <c r="J200" s="247" t="s">
        <v>97</v>
      </c>
      <c r="K200" s="247" t="s">
        <v>1133</v>
      </c>
      <c r="L200" s="247" t="s">
        <v>154</v>
      </c>
      <c r="M200" s="414"/>
      <c r="N200" s="414"/>
      <c r="O200" s="414"/>
    </row>
    <row r="201" spans="1:15" s="331" customFormat="1">
      <c r="A201" s="476">
        <v>45907</v>
      </c>
      <c r="B201" s="469" t="s">
        <v>4037</v>
      </c>
      <c r="C201" s="469" t="s">
        <v>173</v>
      </c>
      <c r="D201" s="469" t="s">
        <v>120</v>
      </c>
      <c r="E201" s="469">
        <v>700</v>
      </c>
      <c r="F201" s="463">
        <f t="shared" si="4"/>
        <v>1.3120825937248712</v>
      </c>
      <c r="G201" s="464">
        <v>533.50300000000004</v>
      </c>
      <c r="H201" s="469" t="s">
        <v>316</v>
      </c>
      <c r="I201" s="469" t="s">
        <v>3260</v>
      </c>
      <c r="J201" s="247" t="s">
        <v>97</v>
      </c>
      <c r="K201" s="247" t="s">
        <v>1133</v>
      </c>
      <c r="L201" s="247" t="s">
        <v>154</v>
      </c>
      <c r="M201" s="335"/>
      <c r="N201" s="335"/>
      <c r="O201" s="335"/>
    </row>
    <row r="202" spans="1:15" s="331" customFormat="1">
      <c r="A202" s="476">
        <v>45907</v>
      </c>
      <c r="B202" s="469" t="s">
        <v>3689</v>
      </c>
      <c r="C202" s="469" t="s">
        <v>173</v>
      </c>
      <c r="D202" s="469" t="s">
        <v>120</v>
      </c>
      <c r="E202" s="469">
        <v>5000</v>
      </c>
      <c r="F202" s="463">
        <f t="shared" si="4"/>
        <v>9.3720185266062224</v>
      </c>
      <c r="G202" s="464">
        <v>533.50300000000004</v>
      </c>
      <c r="H202" s="469" t="s">
        <v>316</v>
      </c>
      <c r="I202" s="247" t="s">
        <v>3265</v>
      </c>
      <c r="J202" s="247" t="s">
        <v>97</v>
      </c>
      <c r="K202" s="247" t="s">
        <v>1133</v>
      </c>
      <c r="L202" s="247" t="s">
        <v>154</v>
      </c>
      <c r="M202" s="335"/>
      <c r="N202" s="335"/>
      <c r="O202" s="335"/>
    </row>
    <row r="203" spans="1:15" s="331" customFormat="1">
      <c r="A203" s="476">
        <v>45907</v>
      </c>
      <c r="B203" s="469" t="s">
        <v>3230</v>
      </c>
      <c r="C203" s="469" t="s">
        <v>173</v>
      </c>
      <c r="D203" s="469" t="s">
        <v>120</v>
      </c>
      <c r="E203" s="469">
        <v>500</v>
      </c>
      <c r="F203" s="463">
        <f t="shared" si="4"/>
        <v>0.93720185266062228</v>
      </c>
      <c r="G203" s="464">
        <v>533.50300000000004</v>
      </c>
      <c r="H203" s="469" t="s">
        <v>316</v>
      </c>
      <c r="I203" s="469" t="s">
        <v>3260</v>
      </c>
      <c r="J203" s="247" t="s">
        <v>97</v>
      </c>
      <c r="K203" s="247" t="s">
        <v>1133</v>
      </c>
      <c r="L203" s="247" t="s">
        <v>154</v>
      </c>
      <c r="M203" s="335"/>
      <c r="N203" s="335"/>
      <c r="O203" s="335"/>
    </row>
    <row r="204" spans="1:15" s="331" customFormat="1">
      <c r="A204" s="476">
        <v>45907</v>
      </c>
      <c r="B204" s="469" t="s">
        <v>3231</v>
      </c>
      <c r="C204" s="469" t="s">
        <v>173</v>
      </c>
      <c r="D204" s="469" t="s">
        <v>120</v>
      </c>
      <c r="E204" s="469">
        <v>500</v>
      </c>
      <c r="F204" s="463">
        <f t="shared" si="4"/>
        <v>0.93720185266062228</v>
      </c>
      <c r="G204" s="464">
        <v>533.50300000000004</v>
      </c>
      <c r="H204" s="469" t="s">
        <v>316</v>
      </c>
      <c r="I204" s="469" t="s">
        <v>3260</v>
      </c>
      <c r="J204" s="247" t="s">
        <v>97</v>
      </c>
      <c r="K204" s="247" t="s">
        <v>1133</v>
      </c>
      <c r="L204" s="247" t="s">
        <v>154</v>
      </c>
      <c r="M204" s="335"/>
      <c r="N204" s="335"/>
      <c r="O204" s="335"/>
    </row>
    <row r="205" spans="1:15" s="331" customFormat="1">
      <c r="A205" s="476">
        <v>45907</v>
      </c>
      <c r="B205" s="469" t="s">
        <v>3232</v>
      </c>
      <c r="C205" s="469" t="s">
        <v>173</v>
      </c>
      <c r="D205" s="469" t="s">
        <v>120</v>
      </c>
      <c r="E205" s="469">
        <v>500</v>
      </c>
      <c r="F205" s="463">
        <f t="shared" si="4"/>
        <v>0.93720185266062228</v>
      </c>
      <c r="G205" s="464">
        <v>533.50300000000004</v>
      </c>
      <c r="H205" s="469" t="s">
        <v>316</v>
      </c>
      <c r="I205" s="469" t="s">
        <v>3260</v>
      </c>
      <c r="J205" s="247" t="s">
        <v>97</v>
      </c>
      <c r="K205" s="247" t="s">
        <v>1133</v>
      </c>
      <c r="L205" s="247" t="s">
        <v>154</v>
      </c>
      <c r="M205" s="335"/>
      <c r="N205" s="335"/>
      <c r="O205" s="335"/>
    </row>
    <row r="206" spans="1:15" s="331" customFormat="1">
      <c r="A206" s="476">
        <v>45907</v>
      </c>
      <c r="B206" s="469" t="s">
        <v>3233</v>
      </c>
      <c r="C206" s="469" t="s">
        <v>173</v>
      </c>
      <c r="D206" s="469" t="s">
        <v>120</v>
      </c>
      <c r="E206" s="469">
        <v>500</v>
      </c>
      <c r="F206" s="463">
        <f t="shared" si="4"/>
        <v>0.93720185266062228</v>
      </c>
      <c r="G206" s="464">
        <v>533.50300000000004</v>
      </c>
      <c r="H206" s="469" t="s">
        <v>316</v>
      </c>
      <c r="I206" s="469" t="s">
        <v>3260</v>
      </c>
      <c r="J206" s="247" t="s">
        <v>97</v>
      </c>
      <c r="K206" s="247" t="s">
        <v>1133</v>
      </c>
      <c r="L206" s="247" t="s">
        <v>154</v>
      </c>
      <c r="M206" s="335"/>
      <c r="N206" s="335"/>
      <c r="O206" s="335"/>
    </row>
    <row r="207" spans="1:15" s="331" customFormat="1">
      <c r="A207" s="476">
        <v>45907</v>
      </c>
      <c r="B207" s="469" t="s">
        <v>4055</v>
      </c>
      <c r="C207" s="469" t="s">
        <v>173</v>
      </c>
      <c r="D207" s="469" t="s">
        <v>120</v>
      </c>
      <c r="E207" s="469">
        <v>5000</v>
      </c>
      <c r="F207" s="463">
        <f t="shared" si="4"/>
        <v>9.3720185266062224</v>
      </c>
      <c r="G207" s="464">
        <v>533.50300000000004</v>
      </c>
      <c r="H207" s="469" t="s">
        <v>316</v>
      </c>
      <c r="I207" s="247" t="s">
        <v>3266</v>
      </c>
      <c r="J207" s="247" t="s">
        <v>97</v>
      </c>
      <c r="K207" s="247" t="s">
        <v>1133</v>
      </c>
      <c r="L207" s="247" t="s">
        <v>154</v>
      </c>
      <c r="M207" s="335"/>
      <c r="N207" s="335"/>
      <c r="O207" s="335"/>
    </row>
    <row r="208" spans="1:15" s="331" customFormat="1">
      <c r="A208" s="476">
        <v>45907</v>
      </c>
      <c r="B208" s="469" t="s">
        <v>3234</v>
      </c>
      <c r="C208" s="469" t="s">
        <v>173</v>
      </c>
      <c r="D208" s="469" t="s">
        <v>120</v>
      </c>
      <c r="E208" s="469">
        <v>700</v>
      </c>
      <c r="F208" s="463">
        <f t="shared" si="4"/>
        <v>1.3120825937248712</v>
      </c>
      <c r="G208" s="464">
        <v>533.50300000000004</v>
      </c>
      <c r="H208" s="469" t="s">
        <v>316</v>
      </c>
      <c r="I208" s="469" t="s">
        <v>3260</v>
      </c>
      <c r="J208" s="247" t="s">
        <v>97</v>
      </c>
      <c r="K208" s="247" t="s">
        <v>1133</v>
      </c>
      <c r="L208" s="247" t="s">
        <v>154</v>
      </c>
      <c r="M208" s="335"/>
      <c r="N208" s="335"/>
      <c r="O208" s="335"/>
    </row>
    <row r="209" spans="1:15" s="331" customFormat="1">
      <c r="A209" s="471">
        <v>45907</v>
      </c>
      <c r="B209" s="469" t="s">
        <v>3344</v>
      </c>
      <c r="C209" s="247" t="s">
        <v>176</v>
      </c>
      <c r="D209" s="247" t="s">
        <v>116</v>
      </c>
      <c r="E209" s="468">
        <v>15000</v>
      </c>
      <c r="F209" s="463">
        <f t="shared" si="4"/>
        <v>28.116055579818667</v>
      </c>
      <c r="G209" s="464">
        <v>533.50300000000004</v>
      </c>
      <c r="H209" s="247" t="s">
        <v>192</v>
      </c>
      <c r="I209" s="469" t="s">
        <v>3367</v>
      </c>
      <c r="J209" s="247" t="s">
        <v>97</v>
      </c>
      <c r="K209" s="247" t="s">
        <v>1133</v>
      </c>
      <c r="L209" s="247" t="s">
        <v>154</v>
      </c>
      <c r="M209" s="414"/>
      <c r="N209" s="76"/>
      <c r="O209" s="76"/>
    </row>
    <row r="210" spans="1:15" s="331" customFormat="1">
      <c r="A210" s="471">
        <v>45907</v>
      </c>
      <c r="B210" s="469" t="s">
        <v>3345</v>
      </c>
      <c r="C210" s="247" t="s">
        <v>173</v>
      </c>
      <c r="D210" s="247" t="s">
        <v>116</v>
      </c>
      <c r="E210" s="468">
        <v>500</v>
      </c>
      <c r="F210" s="463">
        <f t="shared" si="4"/>
        <v>0.93720185266062228</v>
      </c>
      <c r="G210" s="464">
        <v>533.50300000000004</v>
      </c>
      <c r="H210" s="247" t="s">
        <v>192</v>
      </c>
      <c r="I210" s="469" t="s">
        <v>3360</v>
      </c>
      <c r="J210" s="247" t="s">
        <v>97</v>
      </c>
      <c r="K210" s="247" t="s">
        <v>1133</v>
      </c>
      <c r="L210" s="247" t="s">
        <v>154</v>
      </c>
      <c r="M210" s="414"/>
      <c r="N210" s="76"/>
      <c r="O210" s="76"/>
    </row>
    <row r="211" spans="1:15" s="331" customFormat="1">
      <c r="A211" s="471">
        <v>45907</v>
      </c>
      <c r="B211" s="469" t="s">
        <v>3346</v>
      </c>
      <c r="C211" s="247" t="s">
        <v>173</v>
      </c>
      <c r="D211" s="247" t="s">
        <v>116</v>
      </c>
      <c r="E211" s="468">
        <v>1000</v>
      </c>
      <c r="F211" s="463">
        <f t="shared" si="4"/>
        <v>1.8744037053212446</v>
      </c>
      <c r="G211" s="464">
        <v>533.50300000000004</v>
      </c>
      <c r="H211" s="247" t="s">
        <v>192</v>
      </c>
      <c r="I211" s="469" t="s">
        <v>3360</v>
      </c>
      <c r="J211" s="247" t="s">
        <v>97</v>
      </c>
      <c r="K211" s="247" t="s">
        <v>1133</v>
      </c>
      <c r="L211" s="247" t="s">
        <v>154</v>
      </c>
      <c r="M211" s="414"/>
      <c r="N211" s="76"/>
      <c r="O211" s="76"/>
    </row>
    <row r="212" spans="1:15" s="331" customFormat="1">
      <c r="A212" s="461">
        <v>45907</v>
      </c>
      <c r="B212" s="469" t="s">
        <v>3384</v>
      </c>
      <c r="C212" s="359" t="s">
        <v>195</v>
      </c>
      <c r="D212" s="359" t="s">
        <v>116</v>
      </c>
      <c r="E212" s="472">
        <v>500</v>
      </c>
      <c r="F212" s="463">
        <f t="shared" si="4"/>
        <v>0.93720185266062228</v>
      </c>
      <c r="G212" s="464">
        <v>533.50300000000004</v>
      </c>
      <c r="H212" s="360" t="s">
        <v>437</v>
      </c>
      <c r="I212" s="469" t="s">
        <v>3411</v>
      </c>
      <c r="J212" s="247" t="s">
        <v>97</v>
      </c>
      <c r="K212" s="247" t="s">
        <v>1133</v>
      </c>
      <c r="L212" s="247" t="s">
        <v>154</v>
      </c>
      <c r="M212" s="414"/>
      <c r="N212" s="76"/>
      <c r="O212" s="76"/>
    </row>
    <row r="213" spans="1:15" s="331" customFormat="1">
      <c r="A213" s="461">
        <v>45907</v>
      </c>
      <c r="B213" s="469" t="s">
        <v>3385</v>
      </c>
      <c r="C213" s="359" t="s">
        <v>195</v>
      </c>
      <c r="D213" s="359" t="s">
        <v>116</v>
      </c>
      <c r="E213" s="472">
        <v>500</v>
      </c>
      <c r="F213" s="463">
        <f t="shared" si="4"/>
        <v>0.93720185266062228</v>
      </c>
      <c r="G213" s="464">
        <v>533.50300000000004</v>
      </c>
      <c r="H213" s="360" t="s">
        <v>437</v>
      </c>
      <c r="I213" s="469" t="s">
        <v>3411</v>
      </c>
      <c r="J213" s="247" t="s">
        <v>97</v>
      </c>
      <c r="K213" s="247" t="s">
        <v>1133</v>
      </c>
      <c r="L213" s="247" t="s">
        <v>154</v>
      </c>
      <c r="M213" s="414"/>
      <c r="N213" s="76"/>
      <c r="O213" s="76"/>
    </row>
    <row r="214" spans="1:15" s="331" customFormat="1">
      <c r="A214" s="461">
        <v>45907</v>
      </c>
      <c r="B214" s="469" t="s">
        <v>3386</v>
      </c>
      <c r="C214" s="359" t="s">
        <v>195</v>
      </c>
      <c r="D214" s="359" t="s">
        <v>116</v>
      </c>
      <c r="E214" s="472">
        <v>500</v>
      </c>
      <c r="F214" s="463">
        <f t="shared" si="4"/>
        <v>0.93720185266062228</v>
      </c>
      <c r="G214" s="464">
        <v>533.50300000000004</v>
      </c>
      <c r="H214" s="360" t="s">
        <v>437</v>
      </c>
      <c r="I214" s="469" t="s">
        <v>3411</v>
      </c>
      <c r="J214" s="247" t="s">
        <v>97</v>
      </c>
      <c r="K214" s="247" t="s">
        <v>1133</v>
      </c>
      <c r="L214" s="247" t="s">
        <v>154</v>
      </c>
      <c r="M214" s="414"/>
      <c r="N214" s="76"/>
      <c r="O214" s="76"/>
    </row>
    <row r="215" spans="1:15" s="331" customFormat="1">
      <c r="A215" s="461">
        <v>45908</v>
      </c>
      <c r="B215" s="469" t="s">
        <v>3387</v>
      </c>
      <c r="C215" s="359" t="s">
        <v>195</v>
      </c>
      <c r="D215" s="359" t="s">
        <v>116</v>
      </c>
      <c r="E215" s="472">
        <v>500</v>
      </c>
      <c r="F215" s="463">
        <f t="shared" si="4"/>
        <v>0.93720185266062228</v>
      </c>
      <c r="G215" s="464">
        <v>533.50300000000004</v>
      </c>
      <c r="H215" s="360" t="s">
        <v>437</v>
      </c>
      <c r="I215" s="469" t="s">
        <v>3411</v>
      </c>
      <c r="J215" s="247" t="s">
        <v>97</v>
      </c>
      <c r="K215" s="247" t="s">
        <v>1133</v>
      </c>
      <c r="L215" s="247" t="s">
        <v>154</v>
      </c>
      <c r="M215" s="414"/>
      <c r="N215" s="76"/>
      <c r="O215" s="76"/>
    </row>
    <row r="216" spans="1:15" s="331" customFormat="1">
      <c r="A216" s="476">
        <v>45908</v>
      </c>
      <c r="B216" s="359" t="s">
        <v>2100</v>
      </c>
      <c r="C216" s="462" t="s">
        <v>173</v>
      </c>
      <c r="D216" s="462" t="s">
        <v>118</v>
      </c>
      <c r="E216" s="359">
        <v>1000</v>
      </c>
      <c r="F216" s="463">
        <f t="shared" si="4"/>
        <v>1.8744037053212446</v>
      </c>
      <c r="G216" s="464">
        <v>533.50300000000004</v>
      </c>
      <c r="H216" s="465" t="s">
        <v>152</v>
      </c>
      <c r="I216" s="469" t="s">
        <v>2868</v>
      </c>
      <c r="J216" s="247" t="s">
        <v>97</v>
      </c>
      <c r="K216" s="247" t="s">
        <v>1133</v>
      </c>
      <c r="L216" s="247" t="s">
        <v>154</v>
      </c>
      <c r="M216" s="335"/>
      <c r="N216" s="335"/>
      <c r="O216" s="335"/>
    </row>
    <row r="217" spans="1:15" s="331" customFormat="1">
      <c r="A217" s="476">
        <v>45908</v>
      </c>
      <c r="B217" s="359" t="s">
        <v>2101</v>
      </c>
      <c r="C217" s="462" t="s">
        <v>173</v>
      </c>
      <c r="D217" s="462" t="s">
        <v>118</v>
      </c>
      <c r="E217" s="359">
        <v>1000</v>
      </c>
      <c r="F217" s="463">
        <f t="shared" si="4"/>
        <v>1.8744037053212446</v>
      </c>
      <c r="G217" s="464">
        <v>533.50300000000004</v>
      </c>
      <c r="H217" s="465" t="s">
        <v>152</v>
      </c>
      <c r="I217" s="469" t="s">
        <v>2868</v>
      </c>
      <c r="J217" s="247" t="s">
        <v>97</v>
      </c>
      <c r="K217" s="247" t="s">
        <v>1133</v>
      </c>
      <c r="L217" s="247" t="s">
        <v>154</v>
      </c>
      <c r="M217" s="335"/>
      <c r="N217" s="335"/>
      <c r="O217" s="335"/>
    </row>
    <row r="218" spans="1:15" s="331" customFormat="1">
      <c r="A218" s="476">
        <v>45908</v>
      </c>
      <c r="B218" s="359" t="s">
        <v>2850</v>
      </c>
      <c r="C218" s="462" t="s">
        <v>151</v>
      </c>
      <c r="D218" s="462" t="s">
        <v>118</v>
      </c>
      <c r="E218" s="359">
        <v>12500</v>
      </c>
      <c r="F218" s="463">
        <f t="shared" si="4"/>
        <v>23.430046316515558</v>
      </c>
      <c r="G218" s="464">
        <v>533.50300000000004</v>
      </c>
      <c r="H218" s="465" t="s">
        <v>152</v>
      </c>
      <c r="I218" s="469" t="s">
        <v>2872</v>
      </c>
      <c r="J218" s="247" t="s">
        <v>97</v>
      </c>
      <c r="K218" s="247" t="s">
        <v>1133</v>
      </c>
      <c r="L218" s="247" t="s">
        <v>154</v>
      </c>
      <c r="M218" s="335"/>
      <c r="N218" s="335"/>
      <c r="O218" s="335"/>
    </row>
    <row r="219" spans="1:15" s="331" customFormat="1">
      <c r="A219" s="481">
        <v>45908</v>
      </c>
      <c r="B219" s="216" t="s">
        <v>3615</v>
      </c>
      <c r="C219" s="216" t="s">
        <v>2391</v>
      </c>
      <c r="D219" s="337" t="s">
        <v>116</v>
      </c>
      <c r="E219" s="216">
        <v>27500</v>
      </c>
      <c r="F219" s="463">
        <f t="shared" si="4"/>
        <v>51.546101896334221</v>
      </c>
      <c r="G219" s="464">
        <v>533.50300000000004</v>
      </c>
      <c r="H219" s="339" t="s">
        <v>1508</v>
      </c>
      <c r="I219" s="216" t="s">
        <v>2914</v>
      </c>
      <c r="J219" s="247" t="s">
        <v>97</v>
      </c>
      <c r="K219" s="247" t="s">
        <v>1133</v>
      </c>
      <c r="L219" s="247" t="s">
        <v>154</v>
      </c>
      <c r="M219" s="414"/>
      <c r="N219" s="414"/>
      <c r="O219" s="414"/>
    </row>
    <row r="220" spans="1:15" s="331" customFormat="1">
      <c r="A220" s="481">
        <v>45908</v>
      </c>
      <c r="B220" s="247" t="s">
        <v>2885</v>
      </c>
      <c r="C220" s="243" t="s">
        <v>151</v>
      </c>
      <c r="D220" s="243" t="s">
        <v>116</v>
      </c>
      <c r="E220" s="216">
        <v>10000</v>
      </c>
      <c r="F220" s="463">
        <f t="shared" si="4"/>
        <v>18.744037053212445</v>
      </c>
      <c r="G220" s="464">
        <v>533.50300000000004</v>
      </c>
      <c r="H220" s="339" t="s">
        <v>1508</v>
      </c>
      <c r="I220" s="216" t="s">
        <v>2915</v>
      </c>
      <c r="J220" s="247" t="s">
        <v>97</v>
      </c>
      <c r="K220" s="247" t="s">
        <v>1133</v>
      </c>
      <c r="L220" s="247" t="s">
        <v>154</v>
      </c>
      <c r="M220" s="491"/>
      <c r="N220" s="414"/>
      <c r="O220" s="414"/>
    </row>
    <row r="221" spans="1:15" s="331" customFormat="1">
      <c r="A221" s="467">
        <v>45908</v>
      </c>
      <c r="B221" s="469" t="s">
        <v>2928</v>
      </c>
      <c r="C221" s="469" t="s">
        <v>173</v>
      </c>
      <c r="D221" s="469" t="s">
        <v>117</v>
      </c>
      <c r="E221" s="470">
        <v>1000</v>
      </c>
      <c r="F221" s="463">
        <f t="shared" si="4"/>
        <v>1.8744037053212446</v>
      </c>
      <c r="G221" s="464">
        <v>533.50300000000004</v>
      </c>
      <c r="H221" s="469" t="s">
        <v>583</v>
      </c>
      <c r="I221" s="469" t="s">
        <v>2970</v>
      </c>
      <c r="J221" s="247" t="s">
        <v>97</v>
      </c>
      <c r="K221" s="247" t="s">
        <v>1133</v>
      </c>
      <c r="L221" s="247" t="s">
        <v>154</v>
      </c>
      <c r="M221" s="414"/>
      <c r="N221" s="414"/>
      <c r="O221" s="414"/>
    </row>
    <row r="222" spans="1:15" s="331" customFormat="1">
      <c r="A222" s="467">
        <v>45908</v>
      </c>
      <c r="B222" s="469" t="s">
        <v>2936</v>
      </c>
      <c r="C222" s="469" t="s">
        <v>173</v>
      </c>
      <c r="D222" s="469" t="s">
        <v>117</v>
      </c>
      <c r="E222" s="470">
        <v>500</v>
      </c>
      <c r="F222" s="463">
        <f t="shared" ref="F222:F285" si="5">E222/G222</f>
        <v>0.93720185266062228</v>
      </c>
      <c r="G222" s="464">
        <v>533.50300000000004</v>
      </c>
      <c r="H222" s="469" t="s">
        <v>583</v>
      </c>
      <c r="I222" s="469" t="s">
        <v>2970</v>
      </c>
      <c r="J222" s="247" t="s">
        <v>97</v>
      </c>
      <c r="K222" s="247" t="s">
        <v>1133</v>
      </c>
      <c r="L222" s="247" t="s">
        <v>154</v>
      </c>
      <c r="M222" s="414"/>
      <c r="N222" s="414"/>
      <c r="O222" s="414"/>
    </row>
    <row r="223" spans="1:15" s="331" customFormat="1">
      <c r="A223" s="467">
        <v>45908</v>
      </c>
      <c r="B223" s="469" t="s">
        <v>2937</v>
      </c>
      <c r="C223" s="469" t="s">
        <v>173</v>
      </c>
      <c r="D223" s="469" t="s">
        <v>117</v>
      </c>
      <c r="E223" s="470">
        <v>1000</v>
      </c>
      <c r="F223" s="463">
        <f t="shared" si="5"/>
        <v>1.8744037053212446</v>
      </c>
      <c r="G223" s="464">
        <v>533.50300000000004</v>
      </c>
      <c r="H223" s="469" t="s">
        <v>583</v>
      </c>
      <c r="I223" s="469" t="s">
        <v>2970</v>
      </c>
      <c r="J223" s="247" t="s">
        <v>97</v>
      </c>
      <c r="K223" s="247" t="s">
        <v>1133</v>
      </c>
      <c r="L223" s="247" t="s">
        <v>154</v>
      </c>
      <c r="M223" s="335"/>
      <c r="N223" s="335"/>
      <c r="O223" s="335"/>
    </row>
    <row r="224" spans="1:15" s="331" customFormat="1">
      <c r="A224" s="467">
        <v>45908</v>
      </c>
      <c r="B224" s="469" t="s">
        <v>2938</v>
      </c>
      <c r="C224" s="472" t="s">
        <v>151</v>
      </c>
      <c r="D224" s="469" t="s">
        <v>118</v>
      </c>
      <c r="E224" s="470">
        <v>7500</v>
      </c>
      <c r="F224" s="463">
        <f t="shared" si="5"/>
        <v>14.058027789909334</v>
      </c>
      <c r="G224" s="464">
        <v>533.50300000000004</v>
      </c>
      <c r="H224" s="469" t="s">
        <v>583</v>
      </c>
      <c r="I224" s="469" t="s">
        <v>2976</v>
      </c>
      <c r="J224" s="247" t="s">
        <v>97</v>
      </c>
      <c r="K224" s="247" t="s">
        <v>1133</v>
      </c>
      <c r="L224" s="247" t="s">
        <v>154</v>
      </c>
      <c r="M224" s="335"/>
      <c r="N224" s="335"/>
      <c r="O224" s="335"/>
    </row>
    <row r="225" spans="1:15" s="331" customFormat="1">
      <c r="A225" s="474">
        <v>45908</v>
      </c>
      <c r="B225" s="475" t="s">
        <v>3754</v>
      </c>
      <c r="C225" s="475" t="s">
        <v>173</v>
      </c>
      <c r="D225" s="475" t="s">
        <v>120</v>
      </c>
      <c r="E225" s="475">
        <v>3000</v>
      </c>
      <c r="F225" s="463">
        <f t="shared" si="5"/>
        <v>5.6232111159637332</v>
      </c>
      <c r="G225" s="464">
        <v>533.50300000000004</v>
      </c>
      <c r="H225" s="475" t="s">
        <v>183</v>
      </c>
      <c r="I225" s="475" t="s">
        <v>3094</v>
      </c>
      <c r="J225" s="247" t="s">
        <v>97</v>
      </c>
      <c r="K225" s="247" t="s">
        <v>1133</v>
      </c>
      <c r="L225" s="247" t="s">
        <v>154</v>
      </c>
      <c r="M225" s="414"/>
      <c r="N225" s="414"/>
      <c r="O225" s="414"/>
    </row>
    <row r="226" spans="1:15" s="331" customFormat="1">
      <c r="A226" s="474">
        <v>45908</v>
      </c>
      <c r="B226" s="475" t="s">
        <v>3983</v>
      </c>
      <c r="C226" s="475" t="s">
        <v>173</v>
      </c>
      <c r="D226" s="475" t="s">
        <v>120</v>
      </c>
      <c r="E226" s="475">
        <v>1500</v>
      </c>
      <c r="F226" s="463">
        <f t="shared" si="5"/>
        <v>2.8116055579818666</v>
      </c>
      <c r="G226" s="464">
        <v>533.50300000000004</v>
      </c>
      <c r="H226" s="475" t="s">
        <v>183</v>
      </c>
      <c r="I226" s="475" t="s">
        <v>3086</v>
      </c>
      <c r="J226" s="247" t="s">
        <v>97</v>
      </c>
      <c r="K226" s="247" t="s">
        <v>1133</v>
      </c>
      <c r="L226" s="247" t="s">
        <v>154</v>
      </c>
      <c r="M226" s="414"/>
      <c r="N226" s="414"/>
      <c r="O226" s="414"/>
    </row>
    <row r="227" spans="1:15" s="331" customFormat="1">
      <c r="A227" s="474">
        <v>45908</v>
      </c>
      <c r="B227" s="475" t="s">
        <v>3014</v>
      </c>
      <c r="C227" s="475" t="s">
        <v>173</v>
      </c>
      <c r="D227" s="475" t="s">
        <v>120</v>
      </c>
      <c r="E227" s="475">
        <v>1000</v>
      </c>
      <c r="F227" s="463">
        <f t="shared" si="5"/>
        <v>1.8744037053212446</v>
      </c>
      <c r="G227" s="464">
        <v>533.50300000000004</v>
      </c>
      <c r="H227" s="475" t="s">
        <v>183</v>
      </c>
      <c r="I227" s="475" t="s">
        <v>3086</v>
      </c>
      <c r="J227" s="247" t="s">
        <v>97</v>
      </c>
      <c r="K227" s="247" t="s">
        <v>1133</v>
      </c>
      <c r="L227" s="247" t="s">
        <v>154</v>
      </c>
      <c r="M227" s="414"/>
      <c r="N227" s="414"/>
      <c r="O227" s="414"/>
    </row>
    <row r="228" spans="1:15" s="331" customFormat="1">
      <c r="A228" s="474">
        <v>45908</v>
      </c>
      <c r="B228" s="475" t="s">
        <v>3015</v>
      </c>
      <c r="C228" s="475" t="s">
        <v>173</v>
      </c>
      <c r="D228" s="475" t="s">
        <v>120</v>
      </c>
      <c r="E228" s="475">
        <v>1000</v>
      </c>
      <c r="F228" s="463">
        <f t="shared" si="5"/>
        <v>1.8744037053212446</v>
      </c>
      <c r="G228" s="464">
        <v>533.50300000000004</v>
      </c>
      <c r="H228" s="475" t="s">
        <v>183</v>
      </c>
      <c r="I228" s="475" t="s">
        <v>3086</v>
      </c>
      <c r="J228" s="247" t="s">
        <v>97</v>
      </c>
      <c r="K228" s="247" t="s">
        <v>1133</v>
      </c>
      <c r="L228" s="247" t="s">
        <v>154</v>
      </c>
      <c r="M228" s="414"/>
      <c r="N228" s="414"/>
      <c r="O228" s="414"/>
    </row>
    <row r="229" spans="1:15" s="331" customFormat="1">
      <c r="A229" s="474">
        <v>45908</v>
      </c>
      <c r="B229" s="475" t="s">
        <v>3016</v>
      </c>
      <c r="C229" s="475" t="s">
        <v>173</v>
      </c>
      <c r="D229" s="475" t="s">
        <v>120</v>
      </c>
      <c r="E229" s="475">
        <v>1000</v>
      </c>
      <c r="F229" s="463">
        <f t="shared" si="5"/>
        <v>1.8744037053212446</v>
      </c>
      <c r="G229" s="464">
        <v>533.50300000000004</v>
      </c>
      <c r="H229" s="475" t="s">
        <v>183</v>
      </c>
      <c r="I229" s="475" t="s">
        <v>3086</v>
      </c>
      <c r="J229" s="247" t="s">
        <v>97</v>
      </c>
      <c r="K229" s="247" t="s">
        <v>1133</v>
      </c>
      <c r="L229" s="247" t="s">
        <v>154</v>
      </c>
      <c r="M229" s="414"/>
      <c r="N229" s="414"/>
      <c r="O229" s="414"/>
    </row>
    <row r="230" spans="1:15" s="331" customFormat="1">
      <c r="A230" s="474">
        <v>45908</v>
      </c>
      <c r="B230" s="475" t="s">
        <v>3017</v>
      </c>
      <c r="C230" s="475" t="s">
        <v>173</v>
      </c>
      <c r="D230" s="475" t="s">
        <v>120</v>
      </c>
      <c r="E230" s="475">
        <v>1000</v>
      </c>
      <c r="F230" s="463">
        <f t="shared" si="5"/>
        <v>1.8744037053212446</v>
      </c>
      <c r="G230" s="464">
        <v>533.50300000000004</v>
      </c>
      <c r="H230" s="475" t="s">
        <v>183</v>
      </c>
      <c r="I230" s="475" t="s">
        <v>3086</v>
      </c>
      <c r="J230" s="247" t="s">
        <v>97</v>
      </c>
      <c r="K230" s="247" t="s">
        <v>1133</v>
      </c>
      <c r="L230" s="247" t="s">
        <v>154</v>
      </c>
      <c r="M230" s="414"/>
      <c r="N230" s="414"/>
      <c r="O230" s="414"/>
    </row>
    <row r="231" spans="1:15" s="331" customFormat="1">
      <c r="A231" s="474">
        <v>45908</v>
      </c>
      <c r="B231" s="475" t="s">
        <v>3018</v>
      </c>
      <c r="C231" s="475" t="s">
        <v>173</v>
      </c>
      <c r="D231" s="475" t="s">
        <v>120</v>
      </c>
      <c r="E231" s="475">
        <v>1000</v>
      </c>
      <c r="F231" s="463">
        <f t="shared" si="5"/>
        <v>1.8744037053212446</v>
      </c>
      <c r="G231" s="464">
        <v>533.50300000000004</v>
      </c>
      <c r="H231" s="475" t="s">
        <v>183</v>
      </c>
      <c r="I231" s="475" t="s">
        <v>3086</v>
      </c>
      <c r="J231" s="247" t="s">
        <v>97</v>
      </c>
      <c r="K231" s="247" t="s">
        <v>1133</v>
      </c>
      <c r="L231" s="247" t="s">
        <v>154</v>
      </c>
      <c r="M231" s="414"/>
      <c r="N231" s="414"/>
      <c r="O231" s="414"/>
    </row>
    <row r="232" spans="1:15" s="331" customFormat="1">
      <c r="A232" s="474">
        <v>45908</v>
      </c>
      <c r="B232" s="339" t="s">
        <v>3019</v>
      </c>
      <c r="C232" s="339" t="s">
        <v>151</v>
      </c>
      <c r="D232" s="339" t="s">
        <v>2468</v>
      </c>
      <c r="E232" s="475">
        <v>10000</v>
      </c>
      <c r="F232" s="463">
        <f t="shared" si="5"/>
        <v>18.744037053212445</v>
      </c>
      <c r="G232" s="464">
        <v>533.50300000000004</v>
      </c>
      <c r="H232" s="475" t="s">
        <v>183</v>
      </c>
      <c r="I232" s="475" t="s">
        <v>3095</v>
      </c>
      <c r="J232" s="247" t="s">
        <v>97</v>
      </c>
      <c r="K232" s="247" t="s">
        <v>1133</v>
      </c>
      <c r="L232" s="247" t="s">
        <v>154</v>
      </c>
      <c r="M232" s="414"/>
      <c r="N232" s="414"/>
      <c r="O232" s="414"/>
    </row>
    <row r="233" spans="1:15" s="331" customFormat="1">
      <c r="A233" s="474">
        <v>45908</v>
      </c>
      <c r="B233" s="475" t="s">
        <v>4056</v>
      </c>
      <c r="C233" s="475" t="s">
        <v>173</v>
      </c>
      <c r="D233" s="475" t="s">
        <v>120</v>
      </c>
      <c r="E233" s="475">
        <v>3000</v>
      </c>
      <c r="F233" s="463">
        <f t="shared" si="5"/>
        <v>5.6232111159637332</v>
      </c>
      <c r="G233" s="464">
        <v>533.50300000000004</v>
      </c>
      <c r="H233" s="475" t="s">
        <v>183</v>
      </c>
      <c r="I233" s="475" t="s">
        <v>3096</v>
      </c>
      <c r="J233" s="247" t="s">
        <v>97</v>
      </c>
      <c r="K233" s="247" t="s">
        <v>1133</v>
      </c>
      <c r="L233" s="247" t="s">
        <v>154</v>
      </c>
      <c r="M233" s="414"/>
      <c r="N233" s="414"/>
      <c r="O233" s="414"/>
    </row>
    <row r="234" spans="1:15" s="331" customFormat="1">
      <c r="A234" s="474">
        <v>45908</v>
      </c>
      <c r="B234" s="475" t="s">
        <v>3020</v>
      </c>
      <c r="C234" s="475" t="s">
        <v>173</v>
      </c>
      <c r="D234" s="475" t="s">
        <v>120</v>
      </c>
      <c r="E234" s="475">
        <v>1500</v>
      </c>
      <c r="F234" s="463">
        <f t="shared" si="5"/>
        <v>2.8116055579818666</v>
      </c>
      <c r="G234" s="464">
        <v>533.50300000000004</v>
      </c>
      <c r="H234" s="475" t="s">
        <v>183</v>
      </c>
      <c r="I234" s="475" t="s">
        <v>3086</v>
      </c>
      <c r="J234" s="247" t="s">
        <v>97</v>
      </c>
      <c r="K234" s="247" t="s">
        <v>1133</v>
      </c>
      <c r="L234" s="247" t="s">
        <v>154</v>
      </c>
      <c r="M234" s="414"/>
      <c r="N234" s="414"/>
      <c r="O234" s="414"/>
    </row>
    <row r="235" spans="1:15" s="422" customFormat="1">
      <c r="A235" s="474">
        <v>45908</v>
      </c>
      <c r="B235" s="475" t="s">
        <v>3003</v>
      </c>
      <c r="C235" s="475" t="s">
        <v>368</v>
      </c>
      <c r="D235" s="475" t="s">
        <v>120</v>
      </c>
      <c r="E235" s="475">
        <v>2000</v>
      </c>
      <c r="F235" s="463">
        <f t="shared" si="5"/>
        <v>3.7488074106424891</v>
      </c>
      <c r="G235" s="464">
        <v>533.50300000000004</v>
      </c>
      <c r="H235" s="475" t="s">
        <v>183</v>
      </c>
      <c r="I235" s="475" t="s">
        <v>3092</v>
      </c>
      <c r="J235" s="247" t="s">
        <v>97</v>
      </c>
      <c r="K235" s="247" t="s">
        <v>1133</v>
      </c>
      <c r="L235" s="247" t="s">
        <v>154</v>
      </c>
      <c r="M235" s="414"/>
      <c r="N235" s="414"/>
      <c r="O235" s="414"/>
    </row>
    <row r="236" spans="1:15" s="331" customFormat="1">
      <c r="A236" s="476">
        <v>45908</v>
      </c>
      <c r="B236" s="469" t="s">
        <v>4012</v>
      </c>
      <c r="C236" s="469" t="s">
        <v>173</v>
      </c>
      <c r="D236" s="469" t="s">
        <v>120</v>
      </c>
      <c r="E236" s="469">
        <v>1000</v>
      </c>
      <c r="F236" s="463">
        <f t="shared" si="5"/>
        <v>1.8744037053212446</v>
      </c>
      <c r="G236" s="464">
        <v>533.50300000000004</v>
      </c>
      <c r="H236" s="469" t="s">
        <v>174</v>
      </c>
      <c r="I236" s="469" t="s">
        <v>3196</v>
      </c>
      <c r="J236" s="247" t="s">
        <v>97</v>
      </c>
      <c r="K236" s="247" t="s">
        <v>1133</v>
      </c>
      <c r="L236" s="247" t="s">
        <v>154</v>
      </c>
      <c r="M236" s="414"/>
      <c r="N236" s="414"/>
      <c r="O236" s="414"/>
    </row>
    <row r="237" spans="1:15" s="331" customFormat="1">
      <c r="A237" s="476">
        <v>45908</v>
      </c>
      <c r="B237" s="469" t="s">
        <v>4013</v>
      </c>
      <c r="C237" s="469" t="s">
        <v>173</v>
      </c>
      <c r="D237" s="469" t="s">
        <v>120</v>
      </c>
      <c r="E237" s="469">
        <v>1000</v>
      </c>
      <c r="F237" s="463">
        <f t="shared" si="5"/>
        <v>1.8744037053212446</v>
      </c>
      <c r="G237" s="464">
        <v>533.50300000000004</v>
      </c>
      <c r="H237" s="469" t="s">
        <v>174</v>
      </c>
      <c r="I237" s="469" t="s">
        <v>3196</v>
      </c>
      <c r="J237" s="247" t="s">
        <v>97</v>
      </c>
      <c r="K237" s="247" t="s">
        <v>1133</v>
      </c>
      <c r="L237" s="247" t="s">
        <v>154</v>
      </c>
      <c r="M237" s="414"/>
      <c r="N237" s="414"/>
      <c r="O237" s="414"/>
    </row>
    <row r="238" spans="1:15" s="331" customFormat="1">
      <c r="A238" s="476">
        <v>45908</v>
      </c>
      <c r="B238" s="469" t="s">
        <v>3119</v>
      </c>
      <c r="C238" s="469" t="s">
        <v>173</v>
      </c>
      <c r="D238" s="469" t="s">
        <v>120</v>
      </c>
      <c r="E238" s="469">
        <v>1000</v>
      </c>
      <c r="F238" s="463">
        <f t="shared" si="5"/>
        <v>1.8744037053212446</v>
      </c>
      <c r="G238" s="464">
        <v>533.50300000000004</v>
      </c>
      <c r="H238" s="469" t="s">
        <v>174</v>
      </c>
      <c r="I238" s="469" t="s">
        <v>3196</v>
      </c>
      <c r="J238" s="247" t="s">
        <v>97</v>
      </c>
      <c r="K238" s="247" t="s">
        <v>1133</v>
      </c>
      <c r="L238" s="247" t="s">
        <v>154</v>
      </c>
      <c r="M238" s="414"/>
      <c r="N238" s="414"/>
      <c r="O238" s="414"/>
    </row>
    <row r="239" spans="1:15" s="331" customFormat="1">
      <c r="A239" s="476">
        <v>45908</v>
      </c>
      <c r="B239" s="469" t="s">
        <v>3120</v>
      </c>
      <c r="C239" s="469" t="s">
        <v>173</v>
      </c>
      <c r="D239" s="469" t="s">
        <v>120</v>
      </c>
      <c r="E239" s="469">
        <v>1000</v>
      </c>
      <c r="F239" s="463">
        <f t="shared" si="5"/>
        <v>1.8744037053212446</v>
      </c>
      <c r="G239" s="464">
        <v>533.50300000000004</v>
      </c>
      <c r="H239" s="469" t="s">
        <v>174</v>
      </c>
      <c r="I239" s="469" t="s">
        <v>3196</v>
      </c>
      <c r="J239" s="247" t="s">
        <v>97</v>
      </c>
      <c r="K239" s="247" t="s">
        <v>1133</v>
      </c>
      <c r="L239" s="247" t="s">
        <v>154</v>
      </c>
      <c r="M239" s="414"/>
      <c r="N239" s="414"/>
      <c r="O239" s="414"/>
    </row>
    <row r="240" spans="1:15" s="331" customFormat="1">
      <c r="A240" s="476">
        <v>45908</v>
      </c>
      <c r="B240" s="469" t="s">
        <v>3121</v>
      </c>
      <c r="C240" s="469" t="s">
        <v>173</v>
      </c>
      <c r="D240" s="469" t="s">
        <v>120</v>
      </c>
      <c r="E240" s="469">
        <v>1000</v>
      </c>
      <c r="F240" s="463">
        <f t="shared" si="5"/>
        <v>1.8744037053212446</v>
      </c>
      <c r="G240" s="464">
        <v>533.50300000000004</v>
      </c>
      <c r="H240" s="469" t="s">
        <v>174</v>
      </c>
      <c r="I240" s="469" t="s">
        <v>3196</v>
      </c>
      <c r="J240" s="247" t="s">
        <v>97</v>
      </c>
      <c r="K240" s="247" t="s">
        <v>1133</v>
      </c>
      <c r="L240" s="247" t="s">
        <v>154</v>
      </c>
      <c r="M240" s="414"/>
      <c r="N240" s="414"/>
      <c r="O240" s="414"/>
    </row>
    <row r="241" spans="1:15" s="331" customFormat="1">
      <c r="A241" s="476">
        <v>45908</v>
      </c>
      <c r="B241" s="469" t="s">
        <v>3122</v>
      </c>
      <c r="C241" s="469" t="s">
        <v>173</v>
      </c>
      <c r="D241" s="469" t="s">
        <v>120</v>
      </c>
      <c r="E241" s="469">
        <v>1000</v>
      </c>
      <c r="F241" s="463">
        <f t="shared" si="5"/>
        <v>1.8744037053212446</v>
      </c>
      <c r="G241" s="464">
        <v>533.50300000000004</v>
      </c>
      <c r="H241" s="469" t="s">
        <v>174</v>
      </c>
      <c r="I241" s="469" t="s">
        <v>3196</v>
      </c>
      <c r="J241" s="247" t="s">
        <v>97</v>
      </c>
      <c r="K241" s="247" t="s">
        <v>1133</v>
      </c>
      <c r="L241" s="247" t="s">
        <v>154</v>
      </c>
      <c r="M241" s="414"/>
      <c r="N241" s="414"/>
      <c r="O241" s="414"/>
    </row>
    <row r="242" spans="1:15" s="331" customFormat="1">
      <c r="A242" s="476">
        <v>45908</v>
      </c>
      <c r="B242" s="339" t="s">
        <v>3123</v>
      </c>
      <c r="C242" s="339" t="s">
        <v>151</v>
      </c>
      <c r="D242" s="469" t="s">
        <v>120</v>
      </c>
      <c r="E242" s="469">
        <v>10000</v>
      </c>
      <c r="F242" s="463">
        <f t="shared" si="5"/>
        <v>18.744037053212445</v>
      </c>
      <c r="G242" s="464">
        <v>533.50300000000004</v>
      </c>
      <c r="H242" s="469" t="s">
        <v>174</v>
      </c>
      <c r="I242" s="469" t="s">
        <v>3204</v>
      </c>
      <c r="J242" s="247" t="s">
        <v>97</v>
      </c>
      <c r="K242" s="247" t="s">
        <v>1133</v>
      </c>
      <c r="L242" s="247" t="s">
        <v>154</v>
      </c>
      <c r="M242" s="335"/>
      <c r="N242" s="335"/>
      <c r="O242" s="335"/>
    </row>
    <row r="243" spans="1:15" s="424" customFormat="1">
      <c r="A243" s="471">
        <v>45908</v>
      </c>
      <c r="B243" s="247" t="s">
        <v>3124</v>
      </c>
      <c r="C243" s="247" t="s">
        <v>368</v>
      </c>
      <c r="D243" s="247" t="s">
        <v>120</v>
      </c>
      <c r="E243" s="247">
        <v>12000</v>
      </c>
      <c r="F243" s="463">
        <f t="shared" si="5"/>
        <v>22.492844463854933</v>
      </c>
      <c r="G243" s="464">
        <v>533.50300000000004</v>
      </c>
      <c r="H243" s="247" t="s">
        <v>174</v>
      </c>
      <c r="I243" s="247" t="s">
        <v>3201</v>
      </c>
      <c r="J243" s="247" t="s">
        <v>97</v>
      </c>
      <c r="K243" s="247" t="s">
        <v>1133</v>
      </c>
      <c r="L243" s="247" t="s">
        <v>154</v>
      </c>
      <c r="M243" s="335"/>
      <c r="N243" s="335"/>
      <c r="O243" s="335"/>
    </row>
    <row r="244" spans="1:15" s="331" customFormat="1">
      <c r="A244" s="476">
        <v>45908</v>
      </c>
      <c r="B244" s="469" t="s">
        <v>3703</v>
      </c>
      <c r="C244" s="469" t="s">
        <v>176</v>
      </c>
      <c r="D244" s="469" t="s">
        <v>120</v>
      </c>
      <c r="E244" s="469">
        <v>60000</v>
      </c>
      <c r="F244" s="463">
        <f t="shared" si="5"/>
        <v>112.46422231927467</v>
      </c>
      <c r="G244" s="464">
        <v>533.50300000000004</v>
      </c>
      <c r="H244" s="469" t="s">
        <v>316</v>
      </c>
      <c r="I244" s="247" t="s">
        <v>3267</v>
      </c>
      <c r="J244" s="247" t="s">
        <v>97</v>
      </c>
      <c r="K244" s="247" t="s">
        <v>1133</v>
      </c>
      <c r="L244" s="247" t="s">
        <v>154</v>
      </c>
      <c r="M244" s="335"/>
      <c r="N244" s="335"/>
      <c r="O244" s="335"/>
    </row>
    <row r="245" spans="1:15" s="331" customFormat="1">
      <c r="A245" s="476">
        <v>45908</v>
      </c>
      <c r="B245" s="469" t="s">
        <v>4038</v>
      </c>
      <c r="C245" s="469" t="s">
        <v>173</v>
      </c>
      <c r="D245" s="469" t="s">
        <v>120</v>
      </c>
      <c r="E245" s="469">
        <v>700</v>
      </c>
      <c r="F245" s="463">
        <f t="shared" si="5"/>
        <v>1.3120825937248712</v>
      </c>
      <c r="G245" s="464">
        <v>533.50300000000004</v>
      </c>
      <c r="H245" s="469" t="s">
        <v>316</v>
      </c>
      <c r="I245" s="469" t="s">
        <v>3260</v>
      </c>
      <c r="J245" s="247" t="s">
        <v>97</v>
      </c>
      <c r="K245" s="247" t="s">
        <v>1133</v>
      </c>
      <c r="L245" s="247" t="s">
        <v>154</v>
      </c>
      <c r="M245" s="335"/>
      <c r="N245" s="335"/>
      <c r="O245" s="335"/>
    </row>
    <row r="246" spans="1:15" s="331" customFormat="1">
      <c r="A246" s="476">
        <v>45908</v>
      </c>
      <c r="B246" s="469" t="s">
        <v>3689</v>
      </c>
      <c r="C246" s="469" t="s">
        <v>173</v>
      </c>
      <c r="D246" s="469" t="s">
        <v>120</v>
      </c>
      <c r="E246" s="469">
        <v>3000</v>
      </c>
      <c r="F246" s="463">
        <f t="shared" si="5"/>
        <v>5.6232111159637332</v>
      </c>
      <c r="G246" s="464">
        <v>533.50300000000004</v>
      </c>
      <c r="H246" s="469" t="s">
        <v>316</v>
      </c>
      <c r="I246" s="247" t="s">
        <v>3268</v>
      </c>
      <c r="J246" s="247" t="s">
        <v>97</v>
      </c>
      <c r="K246" s="247" t="s">
        <v>1133</v>
      </c>
      <c r="L246" s="247" t="s">
        <v>154</v>
      </c>
      <c r="M246" s="335"/>
      <c r="N246" s="335"/>
      <c r="O246" s="335"/>
    </row>
    <row r="247" spans="1:15" s="331" customFormat="1">
      <c r="A247" s="476">
        <v>45908</v>
      </c>
      <c r="B247" s="469" t="s">
        <v>4039</v>
      </c>
      <c r="C247" s="469" t="s">
        <v>173</v>
      </c>
      <c r="D247" s="469" t="s">
        <v>120</v>
      </c>
      <c r="E247" s="469">
        <v>500</v>
      </c>
      <c r="F247" s="463">
        <f t="shared" si="5"/>
        <v>0.93720185266062228</v>
      </c>
      <c r="G247" s="464">
        <v>533.50300000000004</v>
      </c>
      <c r="H247" s="469" t="s">
        <v>316</v>
      </c>
      <c r="I247" s="469" t="s">
        <v>3260</v>
      </c>
      <c r="J247" s="247" t="s">
        <v>97</v>
      </c>
      <c r="K247" s="247" t="s">
        <v>1133</v>
      </c>
      <c r="L247" s="247" t="s">
        <v>154</v>
      </c>
      <c r="M247" s="335"/>
      <c r="N247" s="335"/>
      <c r="O247" s="335"/>
    </row>
    <row r="248" spans="1:15" s="331" customFormat="1">
      <c r="A248" s="476">
        <v>45908</v>
      </c>
      <c r="B248" s="469" t="s">
        <v>3235</v>
      </c>
      <c r="C248" s="469" t="s">
        <v>173</v>
      </c>
      <c r="D248" s="469" t="s">
        <v>120</v>
      </c>
      <c r="E248" s="469">
        <v>600</v>
      </c>
      <c r="F248" s="463">
        <f t="shared" si="5"/>
        <v>1.1246422231927466</v>
      </c>
      <c r="G248" s="464">
        <v>533.50300000000004</v>
      </c>
      <c r="H248" s="469" t="s">
        <v>316</v>
      </c>
      <c r="I248" s="469" t="s">
        <v>3260</v>
      </c>
      <c r="J248" s="247" t="s">
        <v>97</v>
      </c>
      <c r="K248" s="247" t="s">
        <v>1133</v>
      </c>
      <c r="L248" s="247" t="s">
        <v>154</v>
      </c>
      <c r="M248" s="335"/>
      <c r="N248" s="335"/>
      <c r="O248" s="335"/>
    </row>
    <row r="249" spans="1:15" s="331" customFormat="1">
      <c r="A249" s="476">
        <v>45908</v>
      </c>
      <c r="B249" s="469" t="s">
        <v>3236</v>
      </c>
      <c r="C249" s="469" t="s">
        <v>173</v>
      </c>
      <c r="D249" s="469" t="s">
        <v>120</v>
      </c>
      <c r="E249" s="469">
        <v>500</v>
      </c>
      <c r="F249" s="463">
        <f t="shared" si="5"/>
        <v>0.93720185266062228</v>
      </c>
      <c r="G249" s="464">
        <v>533.50300000000004</v>
      </c>
      <c r="H249" s="469" t="s">
        <v>316</v>
      </c>
      <c r="I249" s="469" t="s">
        <v>3260</v>
      </c>
      <c r="J249" s="247" t="s">
        <v>97</v>
      </c>
      <c r="K249" s="247" t="s">
        <v>1133</v>
      </c>
      <c r="L249" s="247" t="s">
        <v>154</v>
      </c>
      <c r="M249" s="335"/>
      <c r="N249" s="335"/>
      <c r="O249" s="335"/>
    </row>
    <row r="250" spans="1:15" s="331" customFormat="1">
      <c r="A250" s="476">
        <v>45908</v>
      </c>
      <c r="B250" s="469" t="s">
        <v>3237</v>
      </c>
      <c r="C250" s="469" t="s">
        <v>173</v>
      </c>
      <c r="D250" s="469" t="s">
        <v>120</v>
      </c>
      <c r="E250" s="469">
        <v>500</v>
      </c>
      <c r="F250" s="463">
        <f t="shared" si="5"/>
        <v>0.93720185266062228</v>
      </c>
      <c r="G250" s="464">
        <v>533.50300000000004</v>
      </c>
      <c r="H250" s="469" t="s">
        <v>316</v>
      </c>
      <c r="I250" s="469" t="s">
        <v>3260</v>
      </c>
      <c r="J250" s="247" t="s">
        <v>97</v>
      </c>
      <c r="K250" s="247" t="s">
        <v>1133</v>
      </c>
      <c r="L250" s="247" t="s">
        <v>154</v>
      </c>
      <c r="M250" s="335"/>
      <c r="N250" s="335"/>
      <c r="O250" s="335"/>
    </row>
    <row r="251" spans="1:15" s="331" customFormat="1">
      <c r="A251" s="476">
        <v>45908</v>
      </c>
      <c r="B251" s="469" t="s">
        <v>3238</v>
      </c>
      <c r="C251" s="469" t="s">
        <v>151</v>
      </c>
      <c r="D251" s="469" t="s">
        <v>120</v>
      </c>
      <c r="E251" s="469">
        <v>10000</v>
      </c>
      <c r="F251" s="463">
        <f t="shared" si="5"/>
        <v>18.744037053212445</v>
      </c>
      <c r="G251" s="464">
        <v>533.50300000000004</v>
      </c>
      <c r="H251" s="469" t="s">
        <v>316</v>
      </c>
      <c r="I251" s="247" t="s">
        <v>3269</v>
      </c>
      <c r="J251" s="247" t="s">
        <v>97</v>
      </c>
      <c r="K251" s="247" t="s">
        <v>1133</v>
      </c>
      <c r="L251" s="247" t="s">
        <v>154</v>
      </c>
      <c r="M251" s="335"/>
      <c r="N251" s="335"/>
      <c r="O251" s="335"/>
    </row>
    <row r="252" spans="1:15" s="331" customFormat="1">
      <c r="A252" s="476">
        <v>45908</v>
      </c>
      <c r="B252" s="469" t="s">
        <v>3276</v>
      </c>
      <c r="C252" s="469" t="s">
        <v>151</v>
      </c>
      <c r="D252" s="469" t="s">
        <v>120</v>
      </c>
      <c r="E252" s="472">
        <v>10000</v>
      </c>
      <c r="F252" s="463">
        <f t="shared" si="5"/>
        <v>18.744037053212445</v>
      </c>
      <c r="G252" s="464">
        <v>533.50300000000004</v>
      </c>
      <c r="H252" s="469" t="s">
        <v>322</v>
      </c>
      <c r="I252" s="469" t="s">
        <v>3299</v>
      </c>
      <c r="J252" s="247" t="s">
        <v>97</v>
      </c>
      <c r="K252" s="247" t="s">
        <v>1133</v>
      </c>
      <c r="L252" s="247" t="s">
        <v>154</v>
      </c>
      <c r="M252" s="335"/>
      <c r="N252" s="335"/>
      <c r="O252" s="335"/>
    </row>
    <row r="253" spans="1:15" s="331" customFormat="1">
      <c r="A253" s="476">
        <v>45908</v>
      </c>
      <c r="B253" s="469" t="s">
        <v>3312</v>
      </c>
      <c r="C253" s="469" t="s">
        <v>173</v>
      </c>
      <c r="D253" s="469" t="s">
        <v>116</v>
      </c>
      <c r="E253" s="470">
        <v>1000</v>
      </c>
      <c r="F253" s="463">
        <f t="shared" si="5"/>
        <v>1.8744037053212446</v>
      </c>
      <c r="G253" s="464">
        <v>533.50300000000004</v>
      </c>
      <c r="H253" s="469" t="s">
        <v>189</v>
      </c>
      <c r="I253" s="469" t="s">
        <v>3324</v>
      </c>
      <c r="J253" s="247" t="s">
        <v>97</v>
      </c>
      <c r="K253" s="247" t="s">
        <v>1133</v>
      </c>
      <c r="L253" s="247" t="s">
        <v>154</v>
      </c>
      <c r="M253" s="335"/>
      <c r="N253" s="335"/>
      <c r="O253" s="335"/>
    </row>
    <row r="254" spans="1:15" s="331" customFormat="1">
      <c r="A254" s="476">
        <v>45908</v>
      </c>
      <c r="B254" s="469" t="s">
        <v>3313</v>
      </c>
      <c r="C254" s="469" t="s">
        <v>173</v>
      </c>
      <c r="D254" s="469" t="s">
        <v>116</v>
      </c>
      <c r="E254" s="470">
        <v>1000</v>
      </c>
      <c r="F254" s="463">
        <f t="shared" si="5"/>
        <v>1.8744037053212446</v>
      </c>
      <c r="G254" s="464">
        <v>533.50300000000004</v>
      </c>
      <c r="H254" s="469" t="s">
        <v>189</v>
      </c>
      <c r="I254" s="469" t="s">
        <v>3324</v>
      </c>
      <c r="J254" s="247" t="s">
        <v>97</v>
      </c>
      <c r="K254" s="247" t="s">
        <v>1133</v>
      </c>
      <c r="L254" s="247" t="s">
        <v>154</v>
      </c>
      <c r="M254" s="335"/>
      <c r="N254" s="335"/>
      <c r="O254" s="335"/>
    </row>
    <row r="255" spans="1:15" s="331" customFormat="1">
      <c r="A255" s="476">
        <v>45908</v>
      </c>
      <c r="B255" s="469" t="s">
        <v>3314</v>
      </c>
      <c r="C255" s="469" t="s">
        <v>151</v>
      </c>
      <c r="D255" s="469" t="s">
        <v>116</v>
      </c>
      <c r="E255" s="470">
        <v>7500</v>
      </c>
      <c r="F255" s="463">
        <f t="shared" si="5"/>
        <v>14.058027789909334</v>
      </c>
      <c r="G255" s="464">
        <v>533.50300000000004</v>
      </c>
      <c r="H255" s="469" t="s">
        <v>189</v>
      </c>
      <c r="I255" s="247" t="s">
        <v>3327</v>
      </c>
      <c r="J255" s="247" t="s">
        <v>97</v>
      </c>
      <c r="K255" s="247" t="s">
        <v>1133</v>
      </c>
      <c r="L255" s="247" t="s">
        <v>154</v>
      </c>
      <c r="M255" s="335"/>
      <c r="N255" s="335"/>
      <c r="O255" s="335"/>
    </row>
    <row r="256" spans="1:15" s="331" customFormat="1">
      <c r="A256" s="471">
        <v>45908</v>
      </c>
      <c r="B256" s="469" t="s">
        <v>3315</v>
      </c>
      <c r="C256" s="469" t="s">
        <v>171</v>
      </c>
      <c r="D256" s="469" t="s">
        <v>117</v>
      </c>
      <c r="E256" s="468">
        <v>31250</v>
      </c>
      <c r="F256" s="463">
        <f t="shared" si="5"/>
        <v>58.575115791288894</v>
      </c>
      <c r="G256" s="464">
        <v>533.50300000000004</v>
      </c>
      <c r="H256" s="469" t="s">
        <v>189</v>
      </c>
      <c r="I256" s="247" t="s">
        <v>3328</v>
      </c>
      <c r="J256" s="247" t="s">
        <v>97</v>
      </c>
      <c r="K256" s="247" t="s">
        <v>1133</v>
      </c>
      <c r="L256" s="247" t="s">
        <v>154</v>
      </c>
      <c r="M256" s="335"/>
      <c r="N256" s="335"/>
      <c r="O256" s="335"/>
    </row>
    <row r="257" spans="1:15" s="331" customFormat="1">
      <c r="A257" s="471">
        <v>45908</v>
      </c>
      <c r="B257" s="469" t="s">
        <v>3347</v>
      </c>
      <c r="C257" s="469" t="s">
        <v>151</v>
      </c>
      <c r="D257" s="247" t="s">
        <v>116</v>
      </c>
      <c r="E257" s="468">
        <v>7500</v>
      </c>
      <c r="F257" s="463">
        <f t="shared" si="5"/>
        <v>14.058027789909334</v>
      </c>
      <c r="G257" s="464">
        <v>533.50300000000004</v>
      </c>
      <c r="H257" s="247" t="s">
        <v>192</v>
      </c>
      <c r="I257" s="469" t="s">
        <v>3368</v>
      </c>
      <c r="J257" s="247" t="s">
        <v>97</v>
      </c>
      <c r="K257" s="247" t="s">
        <v>1133</v>
      </c>
      <c r="L257" s="247" t="s">
        <v>154</v>
      </c>
      <c r="M257" s="414"/>
      <c r="N257" s="76"/>
      <c r="O257" s="76"/>
    </row>
    <row r="258" spans="1:15" s="331" customFormat="1">
      <c r="A258" s="461">
        <v>45908</v>
      </c>
      <c r="B258" s="247" t="s">
        <v>3388</v>
      </c>
      <c r="C258" s="243" t="s">
        <v>151</v>
      </c>
      <c r="D258" s="243" t="s">
        <v>116</v>
      </c>
      <c r="E258" s="478">
        <v>10000</v>
      </c>
      <c r="F258" s="463">
        <f t="shared" si="5"/>
        <v>18.744037053212445</v>
      </c>
      <c r="G258" s="464">
        <v>533.50300000000004</v>
      </c>
      <c r="H258" s="360" t="s">
        <v>437</v>
      </c>
      <c r="I258" s="469" t="s">
        <v>3417</v>
      </c>
      <c r="J258" s="247" t="s">
        <v>97</v>
      </c>
      <c r="K258" s="247" t="s">
        <v>1133</v>
      </c>
      <c r="L258" s="247" t="s">
        <v>154</v>
      </c>
      <c r="M258" s="414"/>
      <c r="N258" s="76"/>
      <c r="O258" s="76"/>
    </row>
    <row r="259" spans="1:15" s="331" customFormat="1">
      <c r="A259" s="461">
        <v>45909</v>
      </c>
      <c r="B259" s="469" t="s">
        <v>3389</v>
      </c>
      <c r="C259" s="359" t="s">
        <v>195</v>
      </c>
      <c r="D259" s="359" t="s">
        <v>116</v>
      </c>
      <c r="E259" s="472">
        <v>500</v>
      </c>
      <c r="F259" s="463">
        <f t="shared" si="5"/>
        <v>0.93720185266062228</v>
      </c>
      <c r="G259" s="464">
        <v>533.50300000000004</v>
      </c>
      <c r="H259" s="360" t="s">
        <v>437</v>
      </c>
      <c r="I259" s="469" t="s">
        <v>3411</v>
      </c>
      <c r="J259" s="247" t="s">
        <v>97</v>
      </c>
      <c r="K259" s="247" t="s">
        <v>1133</v>
      </c>
      <c r="L259" s="247" t="s">
        <v>154</v>
      </c>
      <c r="M259" s="414"/>
      <c r="N259" s="76"/>
      <c r="O259" s="76"/>
    </row>
    <row r="260" spans="1:15" s="331" customFormat="1">
      <c r="A260" s="476">
        <v>45908</v>
      </c>
      <c r="B260" s="247" t="s">
        <v>3462</v>
      </c>
      <c r="C260" s="243" t="s">
        <v>151</v>
      </c>
      <c r="D260" s="469" t="s">
        <v>119</v>
      </c>
      <c r="E260" s="472">
        <v>5000</v>
      </c>
      <c r="F260" s="463">
        <f t="shared" si="5"/>
        <v>9.3720185266062224</v>
      </c>
      <c r="G260" s="464">
        <v>533.50300000000004</v>
      </c>
      <c r="H260" s="469" t="s">
        <v>212</v>
      </c>
      <c r="I260" s="469" t="s">
        <v>3478</v>
      </c>
      <c r="J260" s="247" t="s">
        <v>97</v>
      </c>
      <c r="K260" s="247" t="s">
        <v>1133</v>
      </c>
      <c r="L260" s="247" t="s">
        <v>154</v>
      </c>
      <c r="M260" s="414"/>
      <c r="N260" s="76"/>
      <c r="O260" s="76"/>
    </row>
    <row r="261" spans="1:15" s="331" customFormat="1">
      <c r="A261" s="476">
        <v>45908</v>
      </c>
      <c r="B261" s="247" t="s">
        <v>3462</v>
      </c>
      <c r="C261" s="243" t="s">
        <v>151</v>
      </c>
      <c r="D261" s="469" t="s">
        <v>119</v>
      </c>
      <c r="E261" s="472">
        <v>5000</v>
      </c>
      <c r="F261" s="463">
        <f t="shared" si="5"/>
        <v>9.3720185266062224</v>
      </c>
      <c r="G261" s="464">
        <v>533.50300000000004</v>
      </c>
      <c r="H261" s="469" t="s">
        <v>212</v>
      </c>
      <c r="I261" s="469" t="s">
        <v>3479</v>
      </c>
      <c r="J261" s="247" t="s">
        <v>97</v>
      </c>
      <c r="K261" s="247" t="s">
        <v>1133</v>
      </c>
      <c r="L261" s="247" t="s">
        <v>154</v>
      </c>
      <c r="M261" s="414"/>
      <c r="N261" s="76"/>
      <c r="O261" s="76"/>
    </row>
    <row r="262" spans="1:15" s="331" customFormat="1">
      <c r="A262" s="476">
        <v>45908</v>
      </c>
      <c r="B262" s="469" t="s">
        <v>2756</v>
      </c>
      <c r="C262" s="469" t="s">
        <v>173</v>
      </c>
      <c r="D262" s="469" t="s">
        <v>116</v>
      </c>
      <c r="E262" s="469">
        <v>500</v>
      </c>
      <c r="F262" s="463">
        <f t="shared" si="5"/>
        <v>0.93720185266062228</v>
      </c>
      <c r="G262" s="464">
        <v>533.50300000000004</v>
      </c>
      <c r="H262" s="469" t="s">
        <v>186</v>
      </c>
      <c r="I262" s="469" t="s">
        <v>3504</v>
      </c>
      <c r="J262" s="247" t="s">
        <v>97</v>
      </c>
      <c r="K262" s="247" t="s">
        <v>1133</v>
      </c>
      <c r="L262" s="247" t="s">
        <v>154</v>
      </c>
      <c r="M262" s="414"/>
      <c r="N262" s="76"/>
      <c r="O262" s="76"/>
    </row>
    <row r="263" spans="1:15" s="331" customFormat="1">
      <c r="A263" s="476">
        <v>45908</v>
      </c>
      <c r="B263" s="469" t="s">
        <v>2757</v>
      </c>
      <c r="C263" s="469" t="s">
        <v>173</v>
      </c>
      <c r="D263" s="469" t="s">
        <v>116</v>
      </c>
      <c r="E263" s="469">
        <v>500</v>
      </c>
      <c r="F263" s="463">
        <f t="shared" si="5"/>
        <v>0.93720185266062228</v>
      </c>
      <c r="G263" s="464">
        <v>533.50300000000004</v>
      </c>
      <c r="H263" s="469" t="s">
        <v>186</v>
      </c>
      <c r="I263" s="469" t="s">
        <v>3504</v>
      </c>
      <c r="J263" s="247" t="s">
        <v>97</v>
      </c>
      <c r="K263" s="247" t="s">
        <v>1133</v>
      </c>
      <c r="L263" s="247" t="s">
        <v>154</v>
      </c>
      <c r="M263" s="414"/>
      <c r="N263" s="76"/>
      <c r="O263" s="76"/>
    </row>
    <row r="264" spans="1:15" s="331" customFormat="1">
      <c r="A264" s="476">
        <v>45908</v>
      </c>
      <c r="B264" s="469" t="s">
        <v>3487</v>
      </c>
      <c r="C264" s="469" t="s">
        <v>151</v>
      </c>
      <c r="D264" s="469" t="s">
        <v>116</v>
      </c>
      <c r="E264" s="469">
        <v>7500</v>
      </c>
      <c r="F264" s="463">
        <f t="shared" si="5"/>
        <v>14.058027789909334</v>
      </c>
      <c r="G264" s="464">
        <v>533.50300000000004</v>
      </c>
      <c r="H264" s="469" t="s">
        <v>186</v>
      </c>
      <c r="I264" s="469" t="s">
        <v>3505</v>
      </c>
      <c r="J264" s="247" t="s">
        <v>97</v>
      </c>
      <c r="K264" s="247" t="s">
        <v>1133</v>
      </c>
      <c r="L264" s="247" t="s">
        <v>154</v>
      </c>
      <c r="M264" s="414"/>
      <c r="N264" s="76"/>
      <c r="O264" s="76"/>
    </row>
    <row r="265" spans="1:15" s="331" customFormat="1">
      <c r="A265" s="471">
        <v>45908</v>
      </c>
      <c r="B265" s="247" t="s">
        <v>3488</v>
      </c>
      <c r="C265" s="469" t="s">
        <v>181</v>
      </c>
      <c r="D265" s="469" t="s">
        <v>117</v>
      </c>
      <c r="E265" s="468">
        <v>2000</v>
      </c>
      <c r="F265" s="463">
        <f t="shared" si="5"/>
        <v>3.7488074106424891</v>
      </c>
      <c r="G265" s="464">
        <v>533.50300000000004</v>
      </c>
      <c r="H265" s="469" t="s">
        <v>186</v>
      </c>
      <c r="I265" s="247" t="s">
        <v>3506</v>
      </c>
      <c r="J265" s="247" t="s">
        <v>97</v>
      </c>
      <c r="K265" s="247" t="s">
        <v>1133</v>
      </c>
      <c r="L265" s="247" t="s">
        <v>154</v>
      </c>
      <c r="M265" s="414"/>
      <c r="N265" s="76"/>
      <c r="O265" s="76"/>
    </row>
    <row r="266" spans="1:15" s="422" customFormat="1">
      <c r="A266" s="476">
        <v>45909</v>
      </c>
      <c r="B266" s="469" t="s">
        <v>2100</v>
      </c>
      <c r="C266" s="462" t="s">
        <v>173</v>
      </c>
      <c r="D266" s="462" t="s">
        <v>118</v>
      </c>
      <c r="E266" s="359">
        <v>1000</v>
      </c>
      <c r="F266" s="463">
        <f t="shared" si="5"/>
        <v>1.8744037053212446</v>
      </c>
      <c r="G266" s="464">
        <v>533.50300000000004</v>
      </c>
      <c r="H266" s="465" t="s">
        <v>152</v>
      </c>
      <c r="I266" s="469" t="s">
        <v>2868</v>
      </c>
      <c r="J266" s="247" t="s">
        <v>97</v>
      </c>
      <c r="K266" s="247" t="s">
        <v>1133</v>
      </c>
      <c r="L266" s="247" t="s">
        <v>154</v>
      </c>
      <c r="M266" s="335"/>
      <c r="N266" s="335"/>
      <c r="O266" s="335"/>
    </row>
    <row r="267" spans="1:15" s="331" customFormat="1">
      <c r="A267" s="476">
        <v>45909</v>
      </c>
      <c r="B267" s="469" t="s">
        <v>2851</v>
      </c>
      <c r="C267" s="462" t="s">
        <v>173</v>
      </c>
      <c r="D267" s="462" t="s">
        <v>118</v>
      </c>
      <c r="E267" s="359">
        <v>1000</v>
      </c>
      <c r="F267" s="463">
        <f t="shared" si="5"/>
        <v>1.8744037053212446</v>
      </c>
      <c r="G267" s="464">
        <v>533.50300000000004</v>
      </c>
      <c r="H267" s="465" t="s">
        <v>152</v>
      </c>
      <c r="I267" s="469" t="s">
        <v>2868</v>
      </c>
      <c r="J267" s="247" t="s">
        <v>97</v>
      </c>
      <c r="K267" s="247" t="s">
        <v>1133</v>
      </c>
      <c r="L267" s="247" t="s">
        <v>154</v>
      </c>
      <c r="M267" s="369"/>
      <c r="N267" s="369"/>
      <c r="O267" s="335"/>
    </row>
    <row r="268" spans="1:15" s="331" customFormat="1">
      <c r="A268" s="476">
        <v>45909</v>
      </c>
      <c r="B268" s="469" t="s">
        <v>2852</v>
      </c>
      <c r="C268" s="462" t="s">
        <v>173</v>
      </c>
      <c r="D268" s="462" t="s">
        <v>118</v>
      </c>
      <c r="E268" s="359">
        <v>1000</v>
      </c>
      <c r="F268" s="463">
        <f t="shared" si="5"/>
        <v>1.8744037053212446</v>
      </c>
      <c r="G268" s="464">
        <v>533.50300000000004</v>
      </c>
      <c r="H268" s="465" t="s">
        <v>152</v>
      </c>
      <c r="I268" s="469" t="s">
        <v>2868</v>
      </c>
      <c r="J268" s="247" t="s">
        <v>97</v>
      </c>
      <c r="K268" s="247" t="s">
        <v>1133</v>
      </c>
      <c r="L268" s="247" t="s">
        <v>154</v>
      </c>
      <c r="M268" s="335"/>
      <c r="N268" s="335"/>
      <c r="O268" s="335"/>
    </row>
    <row r="269" spans="1:15" s="331" customFormat="1">
      <c r="A269" s="476">
        <v>45909</v>
      </c>
      <c r="B269" s="469" t="s">
        <v>2853</v>
      </c>
      <c r="C269" s="462" t="s">
        <v>173</v>
      </c>
      <c r="D269" s="462" t="s">
        <v>118</v>
      </c>
      <c r="E269" s="359">
        <v>1000</v>
      </c>
      <c r="F269" s="463">
        <f t="shared" si="5"/>
        <v>1.8744037053212446</v>
      </c>
      <c r="G269" s="464">
        <v>533.50300000000004</v>
      </c>
      <c r="H269" s="465" t="s">
        <v>152</v>
      </c>
      <c r="I269" s="469" t="s">
        <v>2868</v>
      </c>
      <c r="J269" s="247" t="s">
        <v>97</v>
      </c>
      <c r="K269" s="247" t="s">
        <v>1133</v>
      </c>
      <c r="L269" s="247" t="s">
        <v>154</v>
      </c>
      <c r="M269" s="414"/>
      <c r="N269" s="414"/>
      <c r="O269" s="414"/>
    </row>
    <row r="270" spans="1:15" s="331" customFormat="1">
      <c r="A270" s="476">
        <v>45909</v>
      </c>
      <c r="B270" s="469" t="s">
        <v>2101</v>
      </c>
      <c r="C270" s="462" t="s">
        <v>173</v>
      </c>
      <c r="D270" s="462" t="s">
        <v>118</v>
      </c>
      <c r="E270" s="359">
        <v>1000</v>
      </c>
      <c r="F270" s="463">
        <f t="shared" si="5"/>
        <v>1.8744037053212446</v>
      </c>
      <c r="G270" s="464">
        <v>533.50300000000004</v>
      </c>
      <c r="H270" s="465" t="s">
        <v>152</v>
      </c>
      <c r="I270" s="469" t="s">
        <v>2868</v>
      </c>
      <c r="J270" s="247" t="s">
        <v>97</v>
      </c>
      <c r="K270" s="247" t="s">
        <v>1133</v>
      </c>
      <c r="L270" s="247" t="s">
        <v>154</v>
      </c>
      <c r="M270" s="414"/>
      <c r="N270" s="414"/>
      <c r="O270" s="414"/>
    </row>
    <row r="271" spans="1:15" s="331" customFormat="1">
      <c r="A271" s="474">
        <v>45909</v>
      </c>
      <c r="B271" s="216" t="s">
        <v>2886</v>
      </c>
      <c r="C271" s="216" t="s">
        <v>173</v>
      </c>
      <c r="D271" s="337" t="s">
        <v>116</v>
      </c>
      <c r="E271" s="475">
        <v>500</v>
      </c>
      <c r="F271" s="463">
        <f t="shared" si="5"/>
        <v>0.93720185266062228</v>
      </c>
      <c r="G271" s="464">
        <v>533.50300000000004</v>
      </c>
      <c r="H271" s="339" t="s">
        <v>1508</v>
      </c>
      <c r="I271" s="216" t="s">
        <v>2911</v>
      </c>
      <c r="J271" s="247" t="s">
        <v>97</v>
      </c>
      <c r="K271" s="247" t="s">
        <v>1133</v>
      </c>
      <c r="L271" s="247" t="s">
        <v>154</v>
      </c>
      <c r="M271" s="335"/>
      <c r="N271" s="335"/>
      <c r="O271" s="335"/>
    </row>
    <row r="272" spans="1:15" s="331" customFormat="1">
      <c r="A272" s="474">
        <v>45909</v>
      </c>
      <c r="B272" s="216" t="s">
        <v>2418</v>
      </c>
      <c r="C272" s="216" t="s">
        <v>173</v>
      </c>
      <c r="D272" s="337" t="s">
        <v>116</v>
      </c>
      <c r="E272" s="475">
        <v>500</v>
      </c>
      <c r="F272" s="463">
        <f t="shared" si="5"/>
        <v>0.93720185266062228</v>
      </c>
      <c r="G272" s="464">
        <v>533.50300000000004</v>
      </c>
      <c r="H272" s="339" t="s">
        <v>1508</v>
      </c>
      <c r="I272" s="216" t="s">
        <v>2911</v>
      </c>
      <c r="J272" s="247" t="s">
        <v>97</v>
      </c>
      <c r="K272" s="247" t="s">
        <v>1133</v>
      </c>
      <c r="L272" s="247" t="s">
        <v>154</v>
      </c>
      <c r="M272" s="335"/>
      <c r="N272" s="335"/>
      <c r="O272" s="335"/>
    </row>
    <row r="273" spans="1:15" s="331" customFormat="1">
      <c r="A273" s="467">
        <v>45909</v>
      </c>
      <c r="B273" s="469" t="s">
        <v>2939</v>
      </c>
      <c r="C273" s="469" t="s">
        <v>173</v>
      </c>
      <c r="D273" s="469" t="s">
        <v>117</v>
      </c>
      <c r="E273" s="470">
        <v>1000</v>
      </c>
      <c r="F273" s="463">
        <f t="shared" si="5"/>
        <v>1.8744037053212446</v>
      </c>
      <c r="G273" s="464">
        <v>533.50300000000004</v>
      </c>
      <c r="H273" s="469" t="s">
        <v>583</v>
      </c>
      <c r="I273" s="469" t="s">
        <v>2970</v>
      </c>
      <c r="J273" s="247" t="s">
        <v>97</v>
      </c>
      <c r="K273" s="247" t="s">
        <v>1133</v>
      </c>
      <c r="L273" s="247" t="s">
        <v>154</v>
      </c>
      <c r="M273" s="335"/>
      <c r="N273" s="335"/>
      <c r="O273" s="335"/>
    </row>
    <row r="274" spans="1:15" s="331" customFormat="1">
      <c r="A274" s="467">
        <v>45909</v>
      </c>
      <c r="B274" s="469" t="s">
        <v>2940</v>
      </c>
      <c r="C274" s="469" t="s">
        <v>173</v>
      </c>
      <c r="D274" s="469" t="s">
        <v>117</v>
      </c>
      <c r="E274" s="470">
        <v>1000</v>
      </c>
      <c r="F274" s="463">
        <f t="shared" si="5"/>
        <v>1.8744037053212446</v>
      </c>
      <c r="G274" s="464">
        <v>533.50300000000004</v>
      </c>
      <c r="H274" s="469" t="s">
        <v>583</v>
      </c>
      <c r="I274" s="469" t="s">
        <v>2970</v>
      </c>
      <c r="J274" s="247" t="s">
        <v>97</v>
      </c>
      <c r="K274" s="247" t="s">
        <v>1133</v>
      </c>
      <c r="L274" s="247" t="s">
        <v>154</v>
      </c>
      <c r="M274" s="335"/>
      <c r="N274" s="335"/>
      <c r="O274" s="335"/>
    </row>
    <row r="275" spans="1:15" s="331" customFormat="1">
      <c r="A275" s="474">
        <v>45909</v>
      </c>
      <c r="B275" s="475" t="s">
        <v>4057</v>
      </c>
      <c r="C275" s="475" t="s">
        <v>173</v>
      </c>
      <c r="D275" s="475" t="s">
        <v>120</v>
      </c>
      <c r="E275" s="475">
        <v>5000</v>
      </c>
      <c r="F275" s="463">
        <f t="shared" si="5"/>
        <v>9.3720185266062224</v>
      </c>
      <c r="G275" s="464">
        <v>533.50300000000004</v>
      </c>
      <c r="H275" s="475" t="s">
        <v>183</v>
      </c>
      <c r="I275" s="475" t="s">
        <v>3097</v>
      </c>
      <c r="J275" s="247" t="s">
        <v>97</v>
      </c>
      <c r="K275" s="247" t="s">
        <v>1133</v>
      </c>
      <c r="L275" s="247" t="s">
        <v>154</v>
      </c>
      <c r="M275" s="414"/>
      <c r="N275" s="414"/>
      <c r="O275" s="414"/>
    </row>
    <row r="276" spans="1:15" s="331" customFormat="1">
      <c r="A276" s="474">
        <v>45909</v>
      </c>
      <c r="B276" s="475" t="s">
        <v>4057</v>
      </c>
      <c r="C276" s="475" t="s">
        <v>173</v>
      </c>
      <c r="D276" s="475" t="s">
        <v>120</v>
      </c>
      <c r="E276" s="475">
        <v>5000</v>
      </c>
      <c r="F276" s="463">
        <f t="shared" si="5"/>
        <v>9.3720185266062224</v>
      </c>
      <c r="G276" s="464">
        <v>533.50300000000004</v>
      </c>
      <c r="H276" s="475" t="s">
        <v>183</v>
      </c>
      <c r="I276" s="475" t="s">
        <v>3098</v>
      </c>
      <c r="J276" s="247" t="s">
        <v>97</v>
      </c>
      <c r="K276" s="247" t="s">
        <v>1133</v>
      </c>
      <c r="L276" s="247" t="s">
        <v>154</v>
      </c>
      <c r="M276" s="414"/>
      <c r="N276" s="414"/>
      <c r="O276" s="414"/>
    </row>
    <row r="277" spans="1:15" s="331" customFormat="1">
      <c r="A277" s="474">
        <v>45909</v>
      </c>
      <c r="B277" s="475" t="s">
        <v>4058</v>
      </c>
      <c r="C277" s="475" t="s">
        <v>173</v>
      </c>
      <c r="D277" s="475" t="s">
        <v>120</v>
      </c>
      <c r="E277" s="475">
        <v>1500</v>
      </c>
      <c r="F277" s="463">
        <f t="shared" si="5"/>
        <v>2.8116055579818666</v>
      </c>
      <c r="G277" s="464">
        <v>533.50300000000004</v>
      </c>
      <c r="H277" s="475" t="s">
        <v>183</v>
      </c>
      <c r="I277" s="475" t="s">
        <v>3086</v>
      </c>
      <c r="J277" s="247" t="s">
        <v>97</v>
      </c>
      <c r="K277" s="247" t="s">
        <v>1133</v>
      </c>
      <c r="L277" s="247" t="s">
        <v>154</v>
      </c>
      <c r="M277" s="414"/>
      <c r="N277" s="414"/>
      <c r="O277" s="414"/>
    </row>
    <row r="278" spans="1:15" s="422" customFormat="1">
      <c r="A278" s="474">
        <v>45909</v>
      </c>
      <c r="B278" s="475" t="s">
        <v>3021</v>
      </c>
      <c r="C278" s="475" t="s">
        <v>173</v>
      </c>
      <c r="D278" s="475" t="s">
        <v>120</v>
      </c>
      <c r="E278" s="475">
        <v>500</v>
      </c>
      <c r="F278" s="463">
        <f t="shared" si="5"/>
        <v>0.93720185266062228</v>
      </c>
      <c r="G278" s="464">
        <v>533.50300000000004</v>
      </c>
      <c r="H278" s="475" t="s">
        <v>183</v>
      </c>
      <c r="I278" s="475" t="s">
        <v>3086</v>
      </c>
      <c r="J278" s="247" t="s">
        <v>97</v>
      </c>
      <c r="K278" s="247" t="s">
        <v>1133</v>
      </c>
      <c r="L278" s="247" t="s">
        <v>154</v>
      </c>
      <c r="M278" s="414"/>
      <c r="N278" s="414"/>
      <c r="O278" s="414"/>
    </row>
    <row r="279" spans="1:15" s="331" customFormat="1">
      <c r="A279" s="474">
        <v>45909</v>
      </c>
      <c r="B279" s="475" t="s">
        <v>3022</v>
      </c>
      <c r="C279" s="475" t="s">
        <v>173</v>
      </c>
      <c r="D279" s="475" t="s">
        <v>120</v>
      </c>
      <c r="E279" s="475">
        <v>700</v>
      </c>
      <c r="F279" s="463">
        <f t="shared" si="5"/>
        <v>1.3120825937248712</v>
      </c>
      <c r="G279" s="464">
        <v>533.50300000000004</v>
      </c>
      <c r="H279" s="475" t="s">
        <v>183</v>
      </c>
      <c r="I279" s="475" t="s">
        <v>3086</v>
      </c>
      <c r="J279" s="247" t="s">
        <v>97</v>
      </c>
      <c r="K279" s="247" t="s">
        <v>1133</v>
      </c>
      <c r="L279" s="247" t="s">
        <v>154</v>
      </c>
      <c r="M279" s="414"/>
      <c r="N279" s="414"/>
      <c r="O279" s="414"/>
    </row>
    <row r="280" spans="1:15" s="331" customFormat="1">
      <c r="A280" s="474">
        <v>45909</v>
      </c>
      <c r="B280" s="475" t="s">
        <v>3023</v>
      </c>
      <c r="C280" s="475" t="s">
        <v>173</v>
      </c>
      <c r="D280" s="475" t="s">
        <v>120</v>
      </c>
      <c r="E280" s="475">
        <v>700</v>
      </c>
      <c r="F280" s="463">
        <f t="shared" si="5"/>
        <v>1.3120825937248712</v>
      </c>
      <c r="G280" s="464">
        <v>533.50300000000004</v>
      </c>
      <c r="H280" s="475" t="s">
        <v>183</v>
      </c>
      <c r="I280" s="475" t="s">
        <v>3086</v>
      </c>
      <c r="J280" s="247" t="s">
        <v>97</v>
      </c>
      <c r="K280" s="247" t="s">
        <v>1133</v>
      </c>
      <c r="L280" s="247" t="s">
        <v>154</v>
      </c>
      <c r="M280" s="414"/>
      <c r="N280" s="414"/>
      <c r="O280" s="414"/>
    </row>
    <row r="281" spans="1:15" s="331" customFormat="1">
      <c r="A281" s="474">
        <v>45909</v>
      </c>
      <c r="B281" s="475" t="s">
        <v>3024</v>
      </c>
      <c r="C281" s="475" t="s">
        <v>173</v>
      </c>
      <c r="D281" s="475" t="s">
        <v>120</v>
      </c>
      <c r="E281" s="475">
        <v>700</v>
      </c>
      <c r="F281" s="463">
        <f t="shared" si="5"/>
        <v>1.3120825937248712</v>
      </c>
      <c r="G281" s="464">
        <v>533.50300000000004</v>
      </c>
      <c r="H281" s="475" t="s">
        <v>183</v>
      </c>
      <c r="I281" s="475" t="s">
        <v>3086</v>
      </c>
      <c r="J281" s="247" t="s">
        <v>97</v>
      </c>
      <c r="K281" s="247" t="s">
        <v>1133</v>
      </c>
      <c r="L281" s="247" t="s">
        <v>154</v>
      </c>
      <c r="M281" s="414"/>
      <c r="N281" s="414"/>
      <c r="O281" s="414"/>
    </row>
    <row r="282" spans="1:15" s="331" customFormat="1">
      <c r="A282" s="474">
        <v>45909</v>
      </c>
      <c r="B282" s="475" t="s">
        <v>3025</v>
      </c>
      <c r="C282" s="475" t="s">
        <v>173</v>
      </c>
      <c r="D282" s="475" t="s">
        <v>120</v>
      </c>
      <c r="E282" s="475">
        <v>500</v>
      </c>
      <c r="F282" s="463">
        <f t="shared" si="5"/>
        <v>0.93720185266062228</v>
      </c>
      <c r="G282" s="464">
        <v>533.50300000000004</v>
      </c>
      <c r="H282" s="475" t="s">
        <v>183</v>
      </c>
      <c r="I282" s="475" t="s">
        <v>3086</v>
      </c>
      <c r="J282" s="247" t="s">
        <v>97</v>
      </c>
      <c r="K282" s="247" t="s">
        <v>1133</v>
      </c>
      <c r="L282" s="247" t="s">
        <v>154</v>
      </c>
      <c r="M282" s="414"/>
      <c r="N282" s="414"/>
      <c r="O282" s="414"/>
    </row>
    <row r="283" spans="1:15" s="331" customFormat="1">
      <c r="A283" s="474">
        <v>45909</v>
      </c>
      <c r="B283" s="475" t="s">
        <v>3026</v>
      </c>
      <c r="C283" s="475" t="s">
        <v>173</v>
      </c>
      <c r="D283" s="475" t="s">
        <v>120</v>
      </c>
      <c r="E283" s="475">
        <v>1500</v>
      </c>
      <c r="F283" s="463">
        <f t="shared" si="5"/>
        <v>2.8116055579818666</v>
      </c>
      <c r="G283" s="464">
        <v>533.50300000000004</v>
      </c>
      <c r="H283" s="475" t="s">
        <v>183</v>
      </c>
      <c r="I283" s="475" t="s">
        <v>3086</v>
      </c>
      <c r="J283" s="247" t="s">
        <v>97</v>
      </c>
      <c r="K283" s="247" t="s">
        <v>1133</v>
      </c>
      <c r="L283" s="247" t="s">
        <v>154</v>
      </c>
      <c r="M283" s="414"/>
      <c r="N283" s="414"/>
      <c r="O283" s="414"/>
    </row>
    <row r="284" spans="1:15" s="331" customFormat="1">
      <c r="A284" s="474">
        <v>45909</v>
      </c>
      <c r="B284" s="475" t="s">
        <v>3003</v>
      </c>
      <c r="C284" s="475" t="s">
        <v>368</v>
      </c>
      <c r="D284" s="475" t="s">
        <v>120</v>
      </c>
      <c r="E284" s="475">
        <v>2000</v>
      </c>
      <c r="F284" s="463">
        <f t="shared" si="5"/>
        <v>3.7488074106424891</v>
      </c>
      <c r="G284" s="464">
        <v>533.50300000000004</v>
      </c>
      <c r="H284" s="475" t="s">
        <v>183</v>
      </c>
      <c r="I284" s="475" t="s">
        <v>3092</v>
      </c>
      <c r="J284" s="247" t="s">
        <v>97</v>
      </c>
      <c r="K284" s="247" t="s">
        <v>1133</v>
      </c>
      <c r="L284" s="247" t="s">
        <v>154</v>
      </c>
      <c r="M284" s="414"/>
      <c r="N284" s="414"/>
      <c r="O284" s="414"/>
    </row>
    <row r="285" spans="1:15" s="331" customFormat="1">
      <c r="A285" s="476">
        <v>45909</v>
      </c>
      <c r="B285" s="469" t="s">
        <v>4015</v>
      </c>
      <c r="C285" s="469" t="s">
        <v>173</v>
      </c>
      <c r="D285" s="469" t="s">
        <v>120</v>
      </c>
      <c r="E285" s="469">
        <v>1000</v>
      </c>
      <c r="F285" s="463">
        <f t="shared" si="5"/>
        <v>1.8744037053212446</v>
      </c>
      <c r="G285" s="464">
        <v>533.50300000000004</v>
      </c>
      <c r="H285" s="469" t="s">
        <v>174</v>
      </c>
      <c r="I285" s="469" t="s">
        <v>3196</v>
      </c>
      <c r="J285" s="247" t="s">
        <v>97</v>
      </c>
      <c r="K285" s="247" t="s">
        <v>1133</v>
      </c>
      <c r="L285" s="247" t="s">
        <v>154</v>
      </c>
      <c r="M285" s="335"/>
      <c r="N285" s="335"/>
      <c r="O285" s="335"/>
    </row>
    <row r="286" spans="1:15" s="331" customFormat="1">
      <c r="A286" s="476">
        <v>45909</v>
      </c>
      <c r="B286" s="469" t="s">
        <v>4014</v>
      </c>
      <c r="C286" s="469" t="s">
        <v>1007</v>
      </c>
      <c r="D286" s="469" t="s">
        <v>120</v>
      </c>
      <c r="E286" s="469">
        <v>1000</v>
      </c>
      <c r="F286" s="463">
        <f t="shared" ref="F286:F349" si="6">E286/G286</f>
        <v>1.8744037053212446</v>
      </c>
      <c r="G286" s="464">
        <v>533.50300000000004</v>
      </c>
      <c r="H286" s="469" t="s">
        <v>174</v>
      </c>
      <c r="I286" s="469" t="s">
        <v>3196</v>
      </c>
      <c r="J286" s="247" t="s">
        <v>97</v>
      </c>
      <c r="K286" s="247" t="s">
        <v>1133</v>
      </c>
      <c r="L286" s="247" t="s">
        <v>154</v>
      </c>
      <c r="M286" s="335"/>
      <c r="N286" s="335"/>
      <c r="O286" s="335"/>
    </row>
    <row r="287" spans="1:15" s="331" customFormat="1">
      <c r="A287" s="476">
        <v>45909</v>
      </c>
      <c r="B287" s="469" t="s">
        <v>4016</v>
      </c>
      <c r="C287" s="469" t="s">
        <v>1007</v>
      </c>
      <c r="D287" s="469" t="s">
        <v>120</v>
      </c>
      <c r="E287" s="469">
        <v>1000</v>
      </c>
      <c r="F287" s="463">
        <f t="shared" si="6"/>
        <v>1.8744037053212446</v>
      </c>
      <c r="G287" s="464">
        <v>533.50300000000004</v>
      </c>
      <c r="H287" s="469" t="s">
        <v>174</v>
      </c>
      <c r="I287" s="469" t="s">
        <v>3196</v>
      </c>
      <c r="J287" s="247" t="s">
        <v>97</v>
      </c>
      <c r="K287" s="247" t="s">
        <v>1133</v>
      </c>
      <c r="L287" s="247" t="s">
        <v>154</v>
      </c>
      <c r="M287" s="335"/>
      <c r="N287" s="335"/>
      <c r="O287" s="335"/>
    </row>
    <row r="288" spans="1:15" s="331" customFormat="1">
      <c r="A288" s="476">
        <v>45909</v>
      </c>
      <c r="B288" s="469" t="s">
        <v>4017</v>
      </c>
      <c r="C288" s="469" t="s">
        <v>1007</v>
      </c>
      <c r="D288" s="469" t="s">
        <v>120</v>
      </c>
      <c r="E288" s="469">
        <v>1000</v>
      </c>
      <c r="F288" s="463">
        <f t="shared" si="6"/>
        <v>1.8744037053212446</v>
      </c>
      <c r="G288" s="464">
        <v>533.50300000000004</v>
      </c>
      <c r="H288" s="469" t="s">
        <v>174</v>
      </c>
      <c r="I288" s="469" t="s">
        <v>3196</v>
      </c>
      <c r="J288" s="247" t="s">
        <v>97</v>
      </c>
      <c r="K288" s="247" t="s">
        <v>1133</v>
      </c>
      <c r="L288" s="247" t="s">
        <v>154</v>
      </c>
      <c r="M288" s="335"/>
      <c r="N288" s="335"/>
      <c r="O288" s="335"/>
    </row>
    <row r="289" spans="1:15" s="331" customFormat="1">
      <c r="A289" s="476">
        <v>45909</v>
      </c>
      <c r="B289" s="469" t="s">
        <v>4059</v>
      </c>
      <c r="C289" s="469" t="s">
        <v>1007</v>
      </c>
      <c r="D289" s="469" t="s">
        <v>120</v>
      </c>
      <c r="E289" s="469">
        <v>1000</v>
      </c>
      <c r="F289" s="463">
        <f t="shared" si="6"/>
        <v>1.8744037053212446</v>
      </c>
      <c r="G289" s="464">
        <v>533.50300000000004</v>
      </c>
      <c r="H289" s="469" t="s">
        <v>174</v>
      </c>
      <c r="I289" s="469" t="s">
        <v>3196</v>
      </c>
      <c r="J289" s="247" t="s">
        <v>97</v>
      </c>
      <c r="K289" s="247" t="s">
        <v>1133</v>
      </c>
      <c r="L289" s="247" t="s">
        <v>154</v>
      </c>
      <c r="M289" s="335"/>
      <c r="N289" s="335"/>
      <c r="O289" s="335"/>
    </row>
    <row r="290" spans="1:15" s="331" customFormat="1">
      <c r="A290" s="476">
        <v>45909</v>
      </c>
      <c r="B290" s="469" t="s">
        <v>3125</v>
      </c>
      <c r="C290" s="469" t="s">
        <v>368</v>
      </c>
      <c r="D290" s="469" t="s">
        <v>120</v>
      </c>
      <c r="E290" s="469">
        <v>1500</v>
      </c>
      <c r="F290" s="463">
        <f t="shared" si="6"/>
        <v>2.8116055579818666</v>
      </c>
      <c r="G290" s="464">
        <v>533.50300000000004</v>
      </c>
      <c r="H290" s="469" t="s">
        <v>174</v>
      </c>
      <c r="I290" s="469" t="s">
        <v>3201</v>
      </c>
      <c r="J290" s="247" t="s">
        <v>97</v>
      </c>
      <c r="K290" s="247" t="s">
        <v>1133</v>
      </c>
      <c r="L290" s="247" t="s">
        <v>154</v>
      </c>
      <c r="M290" s="335"/>
      <c r="N290" s="335"/>
      <c r="O290" s="335"/>
    </row>
    <row r="291" spans="1:15" s="331" customFormat="1">
      <c r="A291" s="476">
        <v>45909</v>
      </c>
      <c r="B291" s="469" t="s">
        <v>2515</v>
      </c>
      <c r="C291" s="469" t="s">
        <v>173</v>
      </c>
      <c r="D291" s="469" t="s">
        <v>120</v>
      </c>
      <c r="E291" s="469">
        <v>600</v>
      </c>
      <c r="F291" s="463">
        <f t="shared" si="6"/>
        <v>1.1246422231927466</v>
      </c>
      <c r="G291" s="464">
        <v>533.50300000000004</v>
      </c>
      <c r="H291" s="469" t="s">
        <v>316</v>
      </c>
      <c r="I291" s="469" t="s">
        <v>3260</v>
      </c>
      <c r="J291" s="247" t="s">
        <v>97</v>
      </c>
      <c r="K291" s="247" t="s">
        <v>1133</v>
      </c>
      <c r="L291" s="247" t="s">
        <v>154</v>
      </c>
      <c r="M291" s="335"/>
      <c r="N291" s="335"/>
      <c r="O291" s="335"/>
    </row>
    <row r="292" spans="1:15" s="331" customFormat="1">
      <c r="A292" s="476">
        <v>45909</v>
      </c>
      <c r="B292" s="469" t="s">
        <v>3239</v>
      </c>
      <c r="C292" s="469" t="s">
        <v>173</v>
      </c>
      <c r="D292" s="469" t="s">
        <v>120</v>
      </c>
      <c r="E292" s="469">
        <v>500</v>
      </c>
      <c r="F292" s="463">
        <f t="shared" si="6"/>
        <v>0.93720185266062228</v>
      </c>
      <c r="G292" s="464">
        <v>533.50300000000004</v>
      </c>
      <c r="H292" s="469" t="s">
        <v>316</v>
      </c>
      <c r="I292" s="469" t="s">
        <v>3260</v>
      </c>
      <c r="J292" s="247" t="s">
        <v>97</v>
      </c>
      <c r="K292" s="247" t="s">
        <v>1133</v>
      </c>
      <c r="L292" s="247" t="s">
        <v>154</v>
      </c>
      <c r="M292" s="335"/>
      <c r="N292" s="335"/>
      <c r="O292" s="335"/>
    </row>
    <row r="293" spans="1:15" s="331" customFormat="1">
      <c r="A293" s="476">
        <v>45909</v>
      </c>
      <c r="B293" s="469" t="s">
        <v>3240</v>
      </c>
      <c r="C293" s="469" t="s">
        <v>173</v>
      </c>
      <c r="D293" s="469" t="s">
        <v>120</v>
      </c>
      <c r="E293" s="469">
        <v>500</v>
      </c>
      <c r="F293" s="463">
        <f t="shared" si="6"/>
        <v>0.93720185266062228</v>
      </c>
      <c r="G293" s="464">
        <v>533.50300000000004</v>
      </c>
      <c r="H293" s="469" t="s">
        <v>316</v>
      </c>
      <c r="I293" s="469" t="s">
        <v>3260</v>
      </c>
      <c r="J293" s="247" t="s">
        <v>97</v>
      </c>
      <c r="K293" s="247" t="s">
        <v>1133</v>
      </c>
      <c r="L293" s="247" t="s">
        <v>154</v>
      </c>
      <c r="M293" s="335"/>
      <c r="N293" s="335"/>
      <c r="O293" s="335"/>
    </row>
    <row r="294" spans="1:15" s="331" customFormat="1">
      <c r="A294" s="476">
        <v>45909</v>
      </c>
      <c r="B294" s="469" t="s">
        <v>4060</v>
      </c>
      <c r="C294" s="469" t="s">
        <v>173</v>
      </c>
      <c r="D294" s="469" t="s">
        <v>120</v>
      </c>
      <c r="E294" s="469">
        <v>600</v>
      </c>
      <c r="F294" s="463">
        <f t="shared" si="6"/>
        <v>1.1246422231927466</v>
      </c>
      <c r="G294" s="464">
        <v>533.50300000000004</v>
      </c>
      <c r="H294" s="469" t="s">
        <v>316</v>
      </c>
      <c r="I294" s="469" t="s">
        <v>3260</v>
      </c>
      <c r="J294" s="247" t="s">
        <v>97</v>
      </c>
      <c r="K294" s="247" t="s">
        <v>1133</v>
      </c>
      <c r="L294" s="247" t="s">
        <v>154</v>
      </c>
      <c r="M294" s="335"/>
      <c r="N294" s="335"/>
      <c r="O294" s="335"/>
    </row>
    <row r="295" spans="1:15" s="331" customFormat="1">
      <c r="A295" s="476">
        <v>45909</v>
      </c>
      <c r="B295" s="469" t="s">
        <v>3242</v>
      </c>
      <c r="C295" s="469" t="s">
        <v>173</v>
      </c>
      <c r="D295" s="469" t="s">
        <v>120</v>
      </c>
      <c r="E295" s="469">
        <v>500</v>
      </c>
      <c r="F295" s="463">
        <f t="shared" si="6"/>
        <v>0.93720185266062228</v>
      </c>
      <c r="G295" s="464">
        <v>533.50300000000004</v>
      </c>
      <c r="H295" s="469" t="s">
        <v>316</v>
      </c>
      <c r="I295" s="469" t="s">
        <v>3260</v>
      </c>
      <c r="J295" s="247" t="s">
        <v>97</v>
      </c>
      <c r="K295" s="247" t="s">
        <v>1133</v>
      </c>
      <c r="L295" s="247" t="s">
        <v>154</v>
      </c>
      <c r="M295" s="335"/>
      <c r="N295" s="335"/>
      <c r="O295" s="335"/>
    </row>
    <row r="296" spans="1:15" s="331" customFormat="1">
      <c r="A296" s="476">
        <v>45909</v>
      </c>
      <c r="B296" s="469" t="s">
        <v>3277</v>
      </c>
      <c r="C296" s="469" t="s">
        <v>173</v>
      </c>
      <c r="D296" s="469" t="s">
        <v>120</v>
      </c>
      <c r="E296" s="472">
        <v>1000</v>
      </c>
      <c r="F296" s="463">
        <f t="shared" si="6"/>
        <v>1.8744037053212446</v>
      </c>
      <c r="G296" s="464">
        <v>533.50300000000004</v>
      </c>
      <c r="H296" s="469" t="s">
        <v>322</v>
      </c>
      <c r="I296" s="469" t="s">
        <v>3301</v>
      </c>
      <c r="J296" s="247" t="s">
        <v>97</v>
      </c>
      <c r="K296" s="247" t="s">
        <v>1133</v>
      </c>
      <c r="L296" s="247" t="s">
        <v>154</v>
      </c>
      <c r="M296" s="335"/>
      <c r="N296" s="335"/>
      <c r="O296" s="335"/>
    </row>
    <row r="297" spans="1:15" s="331" customFormat="1">
      <c r="A297" s="476">
        <v>45909</v>
      </c>
      <c r="B297" s="469" t="s">
        <v>3278</v>
      </c>
      <c r="C297" s="469" t="s">
        <v>173</v>
      </c>
      <c r="D297" s="469" t="s">
        <v>120</v>
      </c>
      <c r="E297" s="472">
        <v>1000</v>
      </c>
      <c r="F297" s="463">
        <f t="shared" si="6"/>
        <v>1.8744037053212446</v>
      </c>
      <c r="G297" s="464">
        <v>533.50300000000004</v>
      </c>
      <c r="H297" s="469" t="s">
        <v>322</v>
      </c>
      <c r="I297" s="469" t="s">
        <v>3301</v>
      </c>
      <c r="J297" s="247" t="s">
        <v>97</v>
      </c>
      <c r="K297" s="247" t="s">
        <v>1133</v>
      </c>
      <c r="L297" s="247" t="s">
        <v>154</v>
      </c>
      <c r="M297" s="335"/>
      <c r="N297" s="335"/>
      <c r="O297" s="335"/>
    </row>
    <row r="298" spans="1:15" s="331" customFormat="1">
      <c r="A298" s="476">
        <v>45909</v>
      </c>
      <c r="B298" s="469" t="s">
        <v>3279</v>
      </c>
      <c r="C298" s="469" t="s">
        <v>173</v>
      </c>
      <c r="D298" s="469" t="s">
        <v>120</v>
      </c>
      <c r="E298" s="472">
        <v>1000</v>
      </c>
      <c r="F298" s="463">
        <f t="shared" si="6"/>
        <v>1.8744037053212446</v>
      </c>
      <c r="G298" s="464">
        <v>533.50300000000004</v>
      </c>
      <c r="H298" s="469" t="s">
        <v>322</v>
      </c>
      <c r="I298" s="469" t="s">
        <v>3301</v>
      </c>
      <c r="J298" s="247" t="s">
        <v>97</v>
      </c>
      <c r="K298" s="247" t="s">
        <v>1133</v>
      </c>
      <c r="L298" s="247" t="s">
        <v>154</v>
      </c>
      <c r="M298" s="335"/>
      <c r="N298" s="335"/>
      <c r="O298" s="335"/>
    </row>
    <row r="299" spans="1:15" s="331" customFormat="1">
      <c r="A299" s="461">
        <v>45909</v>
      </c>
      <c r="B299" s="469" t="s">
        <v>3390</v>
      </c>
      <c r="C299" s="359" t="s">
        <v>195</v>
      </c>
      <c r="D299" s="359" t="s">
        <v>116</v>
      </c>
      <c r="E299" s="472">
        <v>500</v>
      </c>
      <c r="F299" s="463">
        <f t="shared" si="6"/>
        <v>0.93720185266062228</v>
      </c>
      <c r="G299" s="464">
        <v>533.50300000000004</v>
      </c>
      <c r="H299" s="360" t="s">
        <v>437</v>
      </c>
      <c r="I299" s="469" t="s">
        <v>3411</v>
      </c>
      <c r="J299" s="247" t="s">
        <v>97</v>
      </c>
      <c r="K299" s="247" t="s">
        <v>1133</v>
      </c>
      <c r="L299" s="247" t="s">
        <v>154</v>
      </c>
      <c r="M299" s="414"/>
      <c r="N299" s="76"/>
      <c r="O299" s="76"/>
    </row>
    <row r="300" spans="1:15" s="331" customFormat="1">
      <c r="A300" s="461">
        <v>45909</v>
      </c>
      <c r="B300" s="469" t="s">
        <v>2696</v>
      </c>
      <c r="C300" s="359" t="s">
        <v>195</v>
      </c>
      <c r="D300" s="359" t="s">
        <v>116</v>
      </c>
      <c r="E300" s="472">
        <v>500</v>
      </c>
      <c r="F300" s="463">
        <f t="shared" si="6"/>
        <v>0.93720185266062228</v>
      </c>
      <c r="G300" s="464">
        <v>533.50300000000004</v>
      </c>
      <c r="H300" s="360" t="s">
        <v>437</v>
      </c>
      <c r="I300" s="469" t="s">
        <v>3411</v>
      </c>
      <c r="J300" s="247" t="s">
        <v>97</v>
      </c>
      <c r="K300" s="247" t="s">
        <v>1133</v>
      </c>
      <c r="L300" s="247" t="s">
        <v>154</v>
      </c>
      <c r="M300" s="414"/>
      <c r="N300" s="76"/>
      <c r="O300" s="76"/>
    </row>
    <row r="301" spans="1:15" s="331" customFormat="1">
      <c r="A301" s="461">
        <v>45911</v>
      </c>
      <c r="B301" s="469" t="s">
        <v>3380</v>
      </c>
      <c r="C301" s="359" t="s">
        <v>195</v>
      </c>
      <c r="D301" s="359" t="s">
        <v>116</v>
      </c>
      <c r="E301" s="472">
        <v>500</v>
      </c>
      <c r="F301" s="463">
        <f t="shared" si="6"/>
        <v>0.93720185266062228</v>
      </c>
      <c r="G301" s="464">
        <v>533.50300000000004</v>
      </c>
      <c r="H301" s="360" t="s">
        <v>437</v>
      </c>
      <c r="I301" s="469" t="s">
        <v>3411</v>
      </c>
      <c r="J301" s="247" t="s">
        <v>97</v>
      </c>
      <c r="K301" s="247" t="s">
        <v>1133</v>
      </c>
      <c r="L301" s="247" t="s">
        <v>154</v>
      </c>
      <c r="M301" s="414"/>
      <c r="N301" s="76"/>
      <c r="O301" s="76"/>
    </row>
    <row r="302" spans="1:15" s="331" customFormat="1">
      <c r="A302" s="471">
        <v>45909</v>
      </c>
      <c r="B302" s="247" t="s">
        <v>3463</v>
      </c>
      <c r="C302" s="469" t="s">
        <v>264</v>
      </c>
      <c r="D302" s="469" t="s">
        <v>2414</v>
      </c>
      <c r="E302" s="468">
        <v>30000</v>
      </c>
      <c r="F302" s="463">
        <f t="shared" si="6"/>
        <v>56.232111159637334</v>
      </c>
      <c r="G302" s="464">
        <v>533.50300000000004</v>
      </c>
      <c r="H302" s="469" t="s">
        <v>212</v>
      </c>
      <c r="I302" s="247" t="s">
        <v>3480</v>
      </c>
      <c r="J302" s="247" t="s">
        <v>97</v>
      </c>
      <c r="K302" s="247" t="s">
        <v>1133</v>
      </c>
      <c r="L302" s="247" t="s">
        <v>154</v>
      </c>
      <c r="M302" s="414"/>
      <c r="N302" s="76"/>
      <c r="O302" s="76"/>
    </row>
    <row r="303" spans="1:15" s="331" customFormat="1">
      <c r="A303" s="476">
        <v>45910</v>
      </c>
      <c r="B303" s="469" t="s">
        <v>2854</v>
      </c>
      <c r="C303" s="462" t="s">
        <v>173</v>
      </c>
      <c r="D303" s="462" t="s">
        <v>118</v>
      </c>
      <c r="E303" s="359">
        <v>1000</v>
      </c>
      <c r="F303" s="463">
        <f t="shared" si="6"/>
        <v>1.8744037053212446</v>
      </c>
      <c r="G303" s="464">
        <v>533.50300000000004</v>
      </c>
      <c r="H303" s="465" t="s">
        <v>152</v>
      </c>
      <c r="I303" s="469" t="s">
        <v>2868</v>
      </c>
      <c r="J303" s="247" t="s">
        <v>97</v>
      </c>
      <c r="K303" s="247" t="s">
        <v>1133</v>
      </c>
      <c r="L303" s="247" t="s">
        <v>154</v>
      </c>
      <c r="M303" s="414"/>
      <c r="N303" s="414"/>
      <c r="O303" s="414"/>
    </row>
    <row r="304" spans="1:15" s="331" customFormat="1">
      <c r="A304" s="476">
        <v>45910</v>
      </c>
      <c r="B304" s="469" t="s">
        <v>2855</v>
      </c>
      <c r="C304" s="462" t="s">
        <v>173</v>
      </c>
      <c r="D304" s="462" t="s">
        <v>118</v>
      </c>
      <c r="E304" s="359">
        <v>1000</v>
      </c>
      <c r="F304" s="463">
        <f t="shared" si="6"/>
        <v>1.8744037053212446</v>
      </c>
      <c r="G304" s="464">
        <v>533.50300000000004</v>
      </c>
      <c r="H304" s="465" t="s">
        <v>152</v>
      </c>
      <c r="I304" s="469" t="s">
        <v>2868</v>
      </c>
      <c r="J304" s="247" t="s">
        <v>97</v>
      </c>
      <c r="K304" s="247" t="s">
        <v>1133</v>
      </c>
      <c r="L304" s="247" t="s">
        <v>154</v>
      </c>
      <c r="M304" s="414"/>
      <c r="N304" s="414"/>
      <c r="O304" s="414"/>
    </row>
    <row r="305" spans="1:15" s="331" customFormat="1">
      <c r="A305" s="467">
        <v>45910</v>
      </c>
      <c r="B305" s="469" t="s">
        <v>2941</v>
      </c>
      <c r="C305" s="469" t="s">
        <v>173</v>
      </c>
      <c r="D305" s="469" t="s">
        <v>117</v>
      </c>
      <c r="E305" s="470">
        <v>1000</v>
      </c>
      <c r="F305" s="463">
        <f t="shared" si="6"/>
        <v>1.8744037053212446</v>
      </c>
      <c r="G305" s="464">
        <v>533.50300000000004</v>
      </c>
      <c r="H305" s="469" t="s">
        <v>583</v>
      </c>
      <c r="I305" s="469" t="s">
        <v>2970</v>
      </c>
      <c r="J305" s="247" t="s">
        <v>97</v>
      </c>
      <c r="K305" s="247" t="s">
        <v>1133</v>
      </c>
      <c r="L305" s="247" t="s">
        <v>154</v>
      </c>
      <c r="M305" s="335"/>
      <c r="N305" s="335"/>
      <c r="O305" s="335"/>
    </row>
    <row r="306" spans="1:15" s="331" customFormat="1">
      <c r="A306" s="467">
        <v>45910</v>
      </c>
      <c r="B306" s="469" t="s">
        <v>2940</v>
      </c>
      <c r="C306" s="469" t="s">
        <v>173</v>
      </c>
      <c r="D306" s="469" t="s">
        <v>117</v>
      </c>
      <c r="E306" s="470">
        <v>1000</v>
      </c>
      <c r="F306" s="463">
        <f t="shared" si="6"/>
        <v>1.8744037053212446</v>
      </c>
      <c r="G306" s="464">
        <v>533.50300000000004</v>
      </c>
      <c r="H306" s="469" t="s">
        <v>583</v>
      </c>
      <c r="I306" s="469" t="s">
        <v>2970</v>
      </c>
      <c r="J306" s="247" t="s">
        <v>97</v>
      </c>
      <c r="K306" s="247" t="s">
        <v>1133</v>
      </c>
      <c r="L306" s="247" t="s">
        <v>154</v>
      </c>
      <c r="M306" s="414"/>
      <c r="N306" s="414"/>
      <c r="O306" s="414"/>
    </row>
    <row r="307" spans="1:15" s="331" customFormat="1">
      <c r="A307" s="474">
        <v>45910</v>
      </c>
      <c r="B307" s="475" t="s">
        <v>3027</v>
      </c>
      <c r="C307" s="475" t="s">
        <v>173</v>
      </c>
      <c r="D307" s="475" t="s">
        <v>120</v>
      </c>
      <c r="E307" s="475">
        <v>1000</v>
      </c>
      <c r="F307" s="463">
        <f t="shared" si="6"/>
        <v>1.8744037053212446</v>
      </c>
      <c r="G307" s="464">
        <v>533.50300000000004</v>
      </c>
      <c r="H307" s="475" t="s">
        <v>183</v>
      </c>
      <c r="I307" s="475" t="s">
        <v>3086</v>
      </c>
      <c r="J307" s="247" t="s">
        <v>97</v>
      </c>
      <c r="K307" s="247" t="s">
        <v>1133</v>
      </c>
      <c r="L307" s="247" t="s">
        <v>154</v>
      </c>
      <c r="M307" s="414"/>
      <c r="N307" s="414"/>
      <c r="O307" s="414"/>
    </row>
    <row r="308" spans="1:15" s="331" customFormat="1">
      <c r="A308" s="474">
        <v>45910</v>
      </c>
      <c r="B308" s="475" t="s">
        <v>3028</v>
      </c>
      <c r="C308" s="475" t="s">
        <v>173</v>
      </c>
      <c r="D308" s="475" t="s">
        <v>120</v>
      </c>
      <c r="E308" s="475">
        <v>1000</v>
      </c>
      <c r="F308" s="463">
        <f t="shared" si="6"/>
        <v>1.8744037053212446</v>
      </c>
      <c r="G308" s="464">
        <v>533.50300000000004</v>
      </c>
      <c r="H308" s="475" t="s">
        <v>183</v>
      </c>
      <c r="I308" s="475" t="s">
        <v>3086</v>
      </c>
      <c r="J308" s="247" t="s">
        <v>97</v>
      </c>
      <c r="K308" s="247" t="s">
        <v>1133</v>
      </c>
      <c r="L308" s="247" t="s">
        <v>154</v>
      </c>
      <c r="M308" s="414"/>
      <c r="N308" s="414"/>
      <c r="O308" s="414"/>
    </row>
    <row r="309" spans="1:15" s="331" customFormat="1">
      <c r="A309" s="474">
        <v>45910</v>
      </c>
      <c r="B309" s="475" t="s">
        <v>3029</v>
      </c>
      <c r="C309" s="475" t="s">
        <v>173</v>
      </c>
      <c r="D309" s="475" t="s">
        <v>120</v>
      </c>
      <c r="E309" s="475">
        <v>1000</v>
      </c>
      <c r="F309" s="463">
        <f t="shared" si="6"/>
        <v>1.8744037053212446</v>
      </c>
      <c r="G309" s="464">
        <v>533.50300000000004</v>
      </c>
      <c r="H309" s="475" t="s">
        <v>183</v>
      </c>
      <c r="I309" s="475" t="s">
        <v>3086</v>
      </c>
      <c r="J309" s="247" t="s">
        <v>97</v>
      </c>
      <c r="K309" s="247" t="s">
        <v>1133</v>
      </c>
      <c r="L309" s="247" t="s">
        <v>154</v>
      </c>
      <c r="M309" s="335"/>
      <c r="N309" s="335"/>
      <c r="O309" s="335"/>
    </row>
    <row r="310" spans="1:15" s="331" customFormat="1">
      <c r="A310" s="474">
        <v>45910</v>
      </c>
      <c r="B310" s="475" t="s">
        <v>3030</v>
      </c>
      <c r="C310" s="475" t="s">
        <v>173</v>
      </c>
      <c r="D310" s="475" t="s">
        <v>120</v>
      </c>
      <c r="E310" s="475">
        <v>1000</v>
      </c>
      <c r="F310" s="463">
        <f t="shared" si="6"/>
        <v>1.8744037053212446</v>
      </c>
      <c r="G310" s="464">
        <v>533.50300000000004</v>
      </c>
      <c r="H310" s="475" t="s">
        <v>183</v>
      </c>
      <c r="I310" s="475" t="s">
        <v>3086</v>
      </c>
      <c r="J310" s="247" t="s">
        <v>97</v>
      </c>
      <c r="K310" s="247" t="s">
        <v>1133</v>
      </c>
      <c r="L310" s="247" t="s">
        <v>154</v>
      </c>
      <c r="M310" s="335"/>
      <c r="N310" s="335"/>
      <c r="O310" s="335"/>
    </row>
    <row r="311" spans="1:15" s="331" customFormat="1">
      <c r="A311" s="474">
        <v>45910</v>
      </c>
      <c r="B311" s="475" t="s">
        <v>3031</v>
      </c>
      <c r="C311" s="475" t="s">
        <v>173</v>
      </c>
      <c r="D311" s="475" t="s">
        <v>120</v>
      </c>
      <c r="E311" s="475">
        <v>1000</v>
      </c>
      <c r="F311" s="463">
        <f t="shared" si="6"/>
        <v>1.8744037053212446</v>
      </c>
      <c r="G311" s="464">
        <v>533.50300000000004</v>
      </c>
      <c r="H311" s="475" t="s">
        <v>183</v>
      </c>
      <c r="I311" s="475" t="s">
        <v>3086</v>
      </c>
      <c r="J311" s="247" t="s">
        <v>97</v>
      </c>
      <c r="K311" s="247" t="s">
        <v>1133</v>
      </c>
      <c r="L311" s="247" t="s">
        <v>154</v>
      </c>
      <c r="M311" s="335"/>
      <c r="N311" s="335"/>
      <c r="O311" s="335"/>
    </row>
    <row r="312" spans="1:15" s="331" customFormat="1">
      <c r="A312" s="474">
        <v>45910</v>
      </c>
      <c r="B312" s="475" t="s">
        <v>3032</v>
      </c>
      <c r="C312" s="475" t="s">
        <v>173</v>
      </c>
      <c r="D312" s="475" t="s">
        <v>120</v>
      </c>
      <c r="E312" s="475">
        <v>2000</v>
      </c>
      <c r="F312" s="463">
        <f t="shared" si="6"/>
        <v>3.7488074106424891</v>
      </c>
      <c r="G312" s="464">
        <v>533.50300000000004</v>
      </c>
      <c r="H312" s="475" t="s">
        <v>183</v>
      </c>
      <c r="I312" s="475" t="s">
        <v>3086</v>
      </c>
      <c r="J312" s="247" t="s">
        <v>97</v>
      </c>
      <c r="K312" s="247" t="s">
        <v>1133</v>
      </c>
      <c r="L312" s="247" t="s">
        <v>154</v>
      </c>
      <c r="M312" s="335"/>
      <c r="N312" s="335"/>
      <c r="O312" s="335"/>
    </row>
    <row r="313" spans="1:15" s="331" customFormat="1">
      <c r="A313" s="476">
        <v>45910</v>
      </c>
      <c r="B313" s="469" t="s">
        <v>4019</v>
      </c>
      <c r="C313" s="469" t="s">
        <v>173</v>
      </c>
      <c r="D313" s="469" t="s">
        <v>120</v>
      </c>
      <c r="E313" s="469">
        <v>1000</v>
      </c>
      <c r="F313" s="463">
        <f t="shared" si="6"/>
        <v>1.8744037053212446</v>
      </c>
      <c r="G313" s="464">
        <v>533.50300000000004</v>
      </c>
      <c r="H313" s="469" t="s">
        <v>174</v>
      </c>
      <c r="I313" s="469" t="s">
        <v>3196</v>
      </c>
      <c r="J313" s="247" t="s">
        <v>97</v>
      </c>
      <c r="K313" s="247" t="s">
        <v>1133</v>
      </c>
      <c r="L313" s="247" t="s">
        <v>154</v>
      </c>
      <c r="M313" s="414"/>
      <c r="N313" s="414"/>
      <c r="O313" s="414"/>
    </row>
    <row r="314" spans="1:15" s="331" customFormat="1">
      <c r="A314" s="476">
        <v>45910</v>
      </c>
      <c r="B314" s="469" t="s">
        <v>4061</v>
      </c>
      <c r="C314" s="469" t="s">
        <v>173</v>
      </c>
      <c r="D314" s="469" t="s">
        <v>120</v>
      </c>
      <c r="E314" s="469">
        <v>1000</v>
      </c>
      <c r="F314" s="463">
        <f t="shared" si="6"/>
        <v>1.8744037053212446</v>
      </c>
      <c r="G314" s="464">
        <v>533.50300000000004</v>
      </c>
      <c r="H314" s="469" t="s">
        <v>174</v>
      </c>
      <c r="I314" s="469" t="s">
        <v>3196</v>
      </c>
      <c r="J314" s="247" t="s">
        <v>97</v>
      </c>
      <c r="K314" s="247" t="s">
        <v>1133</v>
      </c>
      <c r="L314" s="247" t="s">
        <v>154</v>
      </c>
      <c r="M314" s="414"/>
      <c r="N314" s="414"/>
      <c r="O314" s="414"/>
    </row>
    <row r="315" spans="1:15" s="331" customFormat="1">
      <c r="A315" s="476">
        <v>45910</v>
      </c>
      <c r="B315" s="469" t="s">
        <v>4021</v>
      </c>
      <c r="C315" s="469" t="s">
        <v>173</v>
      </c>
      <c r="D315" s="469" t="s">
        <v>120</v>
      </c>
      <c r="E315" s="469">
        <v>1000</v>
      </c>
      <c r="F315" s="463">
        <f t="shared" si="6"/>
        <v>1.8744037053212446</v>
      </c>
      <c r="G315" s="464">
        <v>533.50300000000004</v>
      </c>
      <c r="H315" s="469" t="s">
        <v>174</v>
      </c>
      <c r="I315" s="469" t="s">
        <v>3196</v>
      </c>
      <c r="J315" s="247" t="s">
        <v>97</v>
      </c>
      <c r="K315" s="247" t="s">
        <v>1133</v>
      </c>
      <c r="L315" s="247" t="s">
        <v>154</v>
      </c>
      <c r="M315" s="414"/>
      <c r="N315" s="414"/>
      <c r="O315" s="414"/>
    </row>
    <row r="316" spans="1:15" s="331" customFormat="1">
      <c r="A316" s="476">
        <v>45910</v>
      </c>
      <c r="B316" s="469" t="s">
        <v>4062</v>
      </c>
      <c r="C316" s="469" t="s">
        <v>173</v>
      </c>
      <c r="D316" s="469" t="s">
        <v>120</v>
      </c>
      <c r="E316" s="469">
        <v>1000</v>
      </c>
      <c r="F316" s="463">
        <f t="shared" si="6"/>
        <v>1.8744037053212446</v>
      </c>
      <c r="G316" s="464">
        <v>533.50300000000004</v>
      </c>
      <c r="H316" s="469" t="s">
        <v>174</v>
      </c>
      <c r="I316" s="469" t="s">
        <v>3196</v>
      </c>
      <c r="J316" s="247" t="s">
        <v>97</v>
      </c>
      <c r="K316" s="247" t="s">
        <v>1133</v>
      </c>
      <c r="L316" s="247" t="s">
        <v>154</v>
      </c>
      <c r="M316" s="414"/>
      <c r="N316" s="414"/>
      <c r="O316" s="414"/>
    </row>
    <row r="317" spans="1:15" s="331" customFormat="1">
      <c r="A317" s="476">
        <v>45910</v>
      </c>
      <c r="B317" s="469" t="s">
        <v>3126</v>
      </c>
      <c r="C317" s="469" t="s">
        <v>173</v>
      </c>
      <c r="D317" s="469" t="s">
        <v>120</v>
      </c>
      <c r="E317" s="469">
        <v>1000</v>
      </c>
      <c r="F317" s="463">
        <f t="shared" si="6"/>
        <v>1.8744037053212446</v>
      </c>
      <c r="G317" s="464">
        <v>533.50300000000004</v>
      </c>
      <c r="H317" s="469" t="s">
        <v>174</v>
      </c>
      <c r="I317" s="469" t="s">
        <v>3196</v>
      </c>
      <c r="J317" s="247" t="s">
        <v>97</v>
      </c>
      <c r="K317" s="247" t="s">
        <v>1133</v>
      </c>
      <c r="L317" s="247" t="s">
        <v>154</v>
      </c>
      <c r="M317" s="414"/>
      <c r="N317" s="414"/>
      <c r="O317" s="414"/>
    </row>
    <row r="318" spans="1:15" s="331" customFormat="1">
      <c r="A318" s="476">
        <v>45910</v>
      </c>
      <c r="B318" s="469" t="s">
        <v>4063</v>
      </c>
      <c r="C318" s="469" t="s">
        <v>173</v>
      </c>
      <c r="D318" s="469" t="s">
        <v>120</v>
      </c>
      <c r="E318" s="469">
        <v>1000</v>
      </c>
      <c r="F318" s="463">
        <f t="shared" si="6"/>
        <v>1.8744037053212446</v>
      </c>
      <c r="G318" s="464">
        <v>533.50300000000004</v>
      </c>
      <c r="H318" s="469" t="s">
        <v>174</v>
      </c>
      <c r="I318" s="469" t="s">
        <v>3196</v>
      </c>
      <c r="J318" s="247" t="s">
        <v>97</v>
      </c>
      <c r="K318" s="247" t="s">
        <v>1133</v>
      </c>
      <c r="L318" s="247" t="s">
        <v>154</v>
      </c>
      <c r="M318" s="414"/>
      <c r="N318" s="414"/>
      <c r="O318" s="414"/>
    </row>
    <row r="319" spans="1:15" s="331" customFormat="1">
      <c r="A319" s="476">
        <v>45910</v>
      </c>
      <c r="B319" s="469" t="s">
        <v>3623</v>
      </c>
      <c r="C319" s="469" t="s">
        <v>368</v>
      </c>
      <c r="D319" s="469" t="s">
        <v>120</v>
      </c>
      <c r="E319" s="469">
        <v>2000</v>
      </c>
      <c r="F319" s="463">
        <f t="shared" si="6"/>
        <v>3.7488074106424891</v>
      </c>
      <c r="G319" s="464">
        <v>533.50300000000004</v>
      </c>
      <c r="H319" s="469" t="s">
        <v>174</v>
      </c>
      <c r="I319" s="469" t="s">
        <v>3201</v>
      </c>
      <c r="J319" s="247" t="s">
        <v>97</v>
      </c>
      <c r="K319" s="247" t="s">
        <v>1133</v>
      </c>
      <c r="L319" s="247" t="s">
        <v>154</v>
      </c>
      <c r="M319" s="414"/>
      <c r="N319" s="414"/>
      <c r="O319" s="414"/>
    </row>
    <row r="320" spans="1:15" s="331" customFormat="1">
      <c r="A320" s="476">
        <v>45910</v>
      </c>
      <c r="B320" s="469" t="s">
        <v>3702</v>
      </c>
      <c r="C320" s="469" t="s">
        <v>176</v>
      </c>
      <c r="D320" s="469" t="s">
        <v>120</v>
      </c>
      <c r="E320" s="469">
        <v>30000</v>
      </c>
      <c r="F320" s="463">
        <f t="shared" si="6"/>
        <v>56.232111159637334</v>
      </c>
      <c r="G320" s="464">
        <v>533.50300000000004</v>
      </c>
      <c r="H320" s="469" t="s">
        <v>316</v>
      </c>
      <c r="I320" s="247" t="s">
        <v>3270</v>
      </c>
      <c r="J320" s="247" t="s">
        <v>97</v>
      </c>
      <c r="K320" s="247" t="s">
        <v>1133</v>
      </c>
      <c r="L320" s="247" t="s">
        <v>154</v>
      </c>
      <c r="M320" s="335"/>
      <c r="N320" s="335"/>
      <c r="O320" s="335"/>
    </row>
    <row r="321" spans="1:15" s="331" customFormat="1">
      <c r="A321" s="476">
        <v>45910</v>
      </c>
      <c r="B321" s="469" t="s">
        <v>4064</v>
      </c>
      <c r="C321" s="469" t="s">
        <v>173</v>
      </c>
      <c r="D321" s="469" t="s">
        <v>120</v>
      </c>
      <c r="E321" s="469">
        <v>500</v>
      </c>
      <c r="F321" s="463">
        <f t="shared" si="6"/>
        <v>0.93720185266062228</v>
      </c>
      <c r="G321" s="464">
        <v>533.50300000000004</v>
      </c>
      <c r="H321" s="469" t="s">
        <v>316</v>
      </c>
      <c r="I321" s="469" t="s">
        <v>3260</v>
      </c>
      <c r="J321" s="247" t="s">
        <v>97</v>
      </c>
      <c r="K321" s="247" t="s">
        <v>1133</v>
      </c>
      <c r="L321" s="247" t="s">
        <v>154</v>
      </c>
      <c r="M321" s="335"/>
      <c r="N321" s="335"/>
      <c r="O321" s="335"/>
    </row>
    <row r="322" spans="1:15" s="331" customFormat="1">
      <c r="A322" s="476">
        <v>45910</v>
      </c>
      <c r="B322" s="469" t="s">
        <v>3694</v>
      </c>
      <c r="C322" s="469" t="s">
        <v>173</v>
      </c>
      <c r="D322" s="469" t="s">
        <v>120</v>
      </c>
      <c r="E322" s="469">
        <v>7000</v>
      </c>
      <c r="F322" s="463">
        <f t="shared" si="6"/>
        <v>13.120825937248712</v>
      </c>
      <c r="G322" s="464">
        <v>533.50300000000004</v>
      </c>
      <c r="H322" s="469" t="s">
        <v>316</v>
      </c>
      <c r="I322" s="247" t="s">
        <v>3272</v>
      </c>
      <c r="J322" s="247" t="s">
        <v>97</v>
      </c>
      <c r="K322" s="247" t="s">
        <v>1133</v>
      </c>
      <c r="L322" s="247" t="s">
        <v>154</v>
      </c>
      <c r="M322" s="335"/>
      <c r="N322" s="335"/>
      <c r="O322" s="335"/>
    </row>
    <row r="323" spans="1:15" s="422" customFormat="1">
      <c r="A323" s="476">
        <v>45910</v>
      </c>
      <c r="B323" s="469" t="s">
        <v>4041</v>
      </c>
      <c r="C323" s="469" t="s">
        <v>173</v>
      </c>
      <c r="D323" s="469" t="s">
        <v>120</v>
      </c>
      <c r="E323" s="469">
        <v>2500</v>
      </c>
      <c r="F323" s="463">
        <f t="shared" si="6"/>
        <v>4.6860092633031112</v>
      </c>
      <c r="G323" s="464">
        <v>533.50300000000004</v>
      </c>
      <c r="H323" s="469" t="s">
        <v>316</v>
      </c>
      <c r="I323" s="469" t="s">
        <v>3260</v>
      </c>
      <c r="J323" s="247" t="s">
        <v>97</v>
      </c>
      <c r="K323" s="247" t="s">
        <v>1133</v>
      </c>
      <c r="L323" s="247" t="s">
        <v>154</v>
      </c>
      <c r="M323" s="335"/>
      <c r="N323" s="335"/>
      <c r="O323" s="335"/>
    </row>
    <row r="324" spans="1:15" s="331" customFormat="1">
      <c r="A324" s="476">
        <v>45910</v>
      </c>
      <c r="B324" s="469" t="s">
        <v>3280</v>
      </c>
      <c r="C324" s="469" t="s">
        <v>173</v>
      </c>
      <c r="D324" s="469" t="s">
        <v>120</v>
      </c>
      <c r="E324" s="472">
        <v>1000</v>
      </c>
      <c r="F324" s="463">
        <f t="shared" si="6"/>
        <v>1.8744037053212446</v>
      </c>
      <c r="G324" s="464">
        <v>533.50300000000004</v>
      </c>
      <c r="H324" s="469" t="s">
        <v>322</v>
      </c>
      <c r="I324" s="469" t="s">
        <v>3301</v>
      </c>
      <c r="J324" s="247" t="s">
        <v>97</v>
      </c>
      <c r="K324" s="247" t="s">
        <v>1133</v>
      </c>
      <c r="L324" s="247" t="s">
        <v>154</v>
      </c>
      <c r="M324" s="335"/>
      <c r="N324" s="335"/>
      <c r="O324" s="335"/>
    </row>
    <row r="325" spans="1:15" s="331" customFormat="1">
      <c r="A325" s="476">
        <v>45910</v>
      </c>
      <c r="B325" s="469" t="s">
        <v>3281</v>
      </c>
      <c r="C325" s="469" t="s">
        <v>173</v>
      </c>
      <c r="D325" s="469" t="s">
        <v>120</v>
      </c>
      <c r="E325" s="472">
        <v>1000</v>
      </c>
      <c r="F325" s="463">
        <f t="shared" si="6"/>
        <v>1.8744037053212446</v>
      </c>
      <c r="G325" s="464">
        <v>533.50300000000004</v>
      </c>
      <c r="H325" s="469" t="s">
        <v>322</v>
      </c>
      <c r="I325" s="469" t="s">
        <v>3301</v>
      </c>
      <c r="J325" s="247" t="s">
        <v>97</v>
      </c>
      <c r="K325" s="247" t="s">
        <v>1133</v>
      </c>
      <c r="L325" s="247" t="s">
        <v>154</v>
      </c>
      <c r="M325" s="335"/>
      <c r="N325" s="335"/>
      <c r="O325" s="335"/>
    </row>
    <row r="326" spans="1:15" s="331" customFormat="1">
      <c r="A326" s="476">
        <v>45910</v>
      </c>
      <c r="B326" s="469" t="s">
        <v>3282</v>
      </c>
      <c r="C326" s="469" t="s">
        <v>173</v>
      </c>
      <c r="D326" s="469" t="s">
        <v>120</v>
      </c>
      <c r="E326" s="472">
        <v>1000</v>
      </c>
      <c r="F326" s="463">
        <f t="shared" si="6"/>
        <v>1.8744037053212446</v>
      </c>
      <c r="G326" s="464">
        <v>533.50300000000004</v>
      </c>
      <c r="H326" s="469" t="s">
        <v>322</v>
      </c>
      <c r="I326" s="469" t="s">
        <v>3301</v>
      </c>
      <c r="J326" s="247" t="s">
        <v>97</v>
      </c>
      <c r="K326" s="247" t="s">
        <v>1133</v>
      </c>
      <c r="L326" s="247" t="s">
        <v>154</v>
      </c>
      <c r="M326" s="335"/>
      <c r="N326" s="335"/>
      <c r="O326" s="335"/>
    </row>
    <row r="327" spans="1:15" s="331" customFormat="1">
      <c r="A327" s="471">
        <v>45910</v>
      </c>
      <c r="B327" s="469" t="s">
        <v>3348</v>
      </c>
      <c r="C327" s="247" t="s">
        <v>173</v>
      </c>
      <c r="D327" s="247" t="s">
        <v>116</v>
      </c>
      <c r="E327" s="468">
        <v>1000</v>
      </c>
      <c r="F327" s="463">
        <f t="shared" si="6"/>
        <v>1.8744037053212446</v>
      </c>
      <c r="G327" s="464">
        <v>533.50300000000004</v>
      </c>
      <c r="H327" s="247" t="s">
        <v>192</v>
      </c>
      <c r="I327" s="469" t="s">
        <v>3360</v>
      </c>
      <c r="J327" s="247" t="s">
        <v>97</v>
      </c>
      <c r="K327" s="247" t="s">
        <v>1133</v>
      </c>
      <c r="L327" s="247" t="s">
        <v>154</v>
      </c>
      <c r="M327" s="414"/>
      <c r="N327" s="76"/>
      <c r="O327" s="76"/>
    </row>
    <row r="328" spans="1:15" s="331" customFormat="1">
      <c r="A328" s="471">
        <v>45910</v>
      </c>
      <c r="B328" s="469" t="s">
        <v>2637</v>
      </c>
      <c r="C328" s="247" t="s">
        <v>173</v>
      </c>
      <c r="D328" s="247" t="s">
        <v>116</v>
      </c>
      <c r="E328" s="468">
        <v>1000</v>
      </c>
      <c r="F328" s="463">
        <f t="shared" si="6"/>
        <v>1.8744037053212446</v>
      </c>
      <c r="G328" s="464">
        <v>533.50300000000004</v>
      </c>
      <c r="H328" s="247" t="s">
        <v>192</v>
      </c>
      <c r="I328" s="469" t="s">
        <v>3360</v>
      </c>
      <c r="J328" s="247" t="s">
        <v>97</v>
      </c>
      <c r="K328" s="247" t="s">
        <v>1133</v>
      </c>
      <c r="L328" s="247" t="s">
        <v>154</v>
      </c>
      <c r="M328" s="414"/>
      <c r="N328" s="76"/>
      <c r="O328" s="76"/>
    </row>
    <row r="329" spans="1:15" s="331" customFormat="1">
      <c r="A329" s="476">
        <v>45910</v>
      </c>
      <c r="B329" s="469" t="s">
        <v>3489</v>
      </c>
      <c r="C329" s="469" t="s">
        <v>173</v>
      </c>
      <c r="D329" s="469" t="s">
        <v>116</v>
      </c>
      <c r="E329" s="469">
        <v>500</v>
      </c>
      <c r="F329" s="463">
        <f t="shared" si="6"/>
        <v>0.93720185266062228</v>
      </c>
      <c r="G329" s="464">
        <v>533.50300000000004</v>
      </c>
      <c r="H329" s="469" t="s">
        <v>186</v>
      </c>
      <c r="I329" s="469" t="s">
        <v>3504</v>
      </c>
      <c r="J329" s="247" t="s">
        <v>97</v>
      </c>
      <c r="K329" s="247" t="s">
        <v>1133</v>
      </c>
      <c r="L329" s="247" t="s">
        <v>154</v>
      </c>
      <c r="M329" s="414"/>
      <c r="N329" s="76"/>
      <c r="O329" s="76"/>
    </row>
    <row r="330" spans="1:15" s="331" customFormat="1">
      <c r="A330" s="476">
        <v>45910</v>
      </c>
      <c r="B330" s="469" t="s">
        <v>2757</v>
      </c>
      <c r="C330" s="469" t="s">
        <v>173</v>
      </c>
      <c r="D330" s="469" t="s">
        <v>116</v>
      </c>
      <c r="E330" s="469">
        <v>500</v>
      </c>
      <c r="F330" s="463">
        <f t="shared" si="6"/>
        <v>0.93720185266062228</v>
      </c>
      <c r="G330" s="464">
        <v>533.50300000000004</v>
      </c>
      <c r="H330" s="469" t="s">
        <v>186</v>
      </c>
      <c r="I330" s="469" t="s">
        <v>3504</v>
      </c>
      <c r="J330" s="247" t="s">
        <v>97</v>
      </c>
      <c r="K330" s="247" t="s">
        <v>1133</v>
      </c>
      <c r="L330" s="247" t="s">
        <v>154</v>
      </c>
      <c r="M330" s="414"/>
      <c r="N330" s="76"/>
      <c r="O330" s="76"/>
    </row>
    <row r="331" spans="1:15" s="331" customFormat="1">
      <c r="A331" s="476">
        <v>45910</v>
      </c>
      <c r="B331" s="469" t="s">
        <v>3490</v>
      </c>
      <c r="C331" s="469" t="s">
        <v>173</v>
      </c>
      <c r="D331" s="469" t="s">
        <v>116</v>
      </c>
      <c r="E331" s="469">
        <v>1000</v>
      </c>
      <c r="F331" s="463">
        <f t="shared" si="6"/>
        <v>1.8744037053212446</v>
      </c>
      <c r="G331" s="464">
        <v>533.50300000000004</v>
      </c>
      <c r="H331" s="469" t="s">
        <v>186</v>
      </c>
      <c r="I331" s="469" t="s">
        <v>3504</v>
      </c>
      <c r="J331" s="247" t="s">
        <v>97</v>
      </c>
      <c r="K331" s="247" t="s">
        <v>1133</v>
      </c>
      <c r="L331" s="247" t="s">
        <v>154</v>
      </c>
      <c r="M331" s="414"/>
      <c r="N331" s="76"/>
      <c r="O331" s="76"/>
    </row>
    <row r="332" spans="1:15" s="331" customFormat="1">
      <c r="A332" s="476">
        <v>45910</v>
      </c>
      <c r="B332" s="469" t="s">
        <v>3491</v>
      </c>
      <c r="C332" s="469" t="s">
        <v>173</v>
      </c>
      <c r="D332" s="469" t="s">
        <v>116</v>
      </c>
      <c r="E332" s="469">
        <v>1000</v>
      </c>
      <c r="F332" s="463">
        <f t="shared" si="6"/>
        <v>1.8744037053212446</v>
      </c>
      <c r="G332" s="464">
        <v>533.50300000000004</v>
      </c>
      <c r="H332" s="469" t="s">
        <v>186</v>
      </c>
      <c r="I332" s="469" t="s">
        <v>3504</v>
      </c>
      <c r="J332" s="247" t="s">
        <v>97</v>
      </c>
      <c r="K332" s="247" t="s">
        <v>1133</v>
      </c>
      <c r="L332" s="247" t="s">
        <v>154</v>
      </c>
      <c r="M332" s="414"/>
      <c r="N332" s="76"/>
      <c r="O332" s="76"/>
    </row>
    <row r="333" spans="1:15" s="331" customFormat="1">
      <c r="A333" s="476">
        <v>45910</v>
      </c>
      <c r="B333" s="469" t="s">
        <v>3492</v>
      </c>
      <c r="C333" s="469" t="s">
        <v>173</v>
      </c>
      <c r="D333" s="469" t="s">
        <v>116</v>
      </c>
      <c r="E333" s="469">
        <v>500</v>
      </c>
      <c r="F333" s="463">
        <f t="shared" si="6"/>
        <v>0.93720185266062228</v>
      </c>
      <c r="G333" s="464">
        <v>533.50300000000004</v>
      </c>
      <c r="H333" s="469" t="s">
        <v>186</v>
      </c>
      <c r="I333" s="469" t="s">
        <v>3504</v>
      </c>
      <c r="J333" s="247" t="s">
        <v>97</v>
      </c>
      <c r="K333" s="247" t="s">
        <v>1133</v>
      </c>
      <c r="L333" s="247" t="s">
        <v>154</v>
      </c>
      <c r="M333" s="414"/>
      <c r="N333" s="76"/>
      <c r="O333" s="76"/>
    </row>
    <row r="334" spans="1:15" s="331" customFormat="1">
      <c r="A334" s="476">
        <v>45910</v>
      </c>
      <c r="B334" s="469" t="s">
        <v>2757</v>
      </c>
      <c r="C334" s="469" t="s">
        <v>173</v>
      </c>
      <c r="D334" s="469" t="s">
        <v>116</v>
      </c>
      <c r="E334" s="469">
        <v>500</v>
      </c>
      <c r="F334" s="463">
        <f t="shared" si="6"/>
        <v>0.93720185266062228</v>
      </c>
      <c r="G334" s="464">
        <v>533.50300000000004</v>
      </c>
      <c r="H334" s="469" t="s">
        <v>186</v>
      </c>
      <c r="I334" s="469" t="s">
        <v>3504</v>
      </c>
      <c r="J334" s="247" t="s">
        <v>97</v>
      </c>
      <c r="K334" s="247" t="s">
        <v>1133</v>
      </c>
      <c r="L334" s="247" t="s">
        <v>154</v>
      </c>
      <c r="M334" s="414"/>
      <c r="N334" s="76"/>
      <c r="O334" s="76"/>
    </row>
    <row r="335" spans="1:15" s="331" customFormat="1">
      <c r="A335" s="471">
        <v>45910</v>
      </c>
      <c r="B335" s="247" t="s">
        <v>3494</v>
      </c>
      <c r="C335" s="469" t="s">
        <v>181</v>
      </c>
      <c r="D335" s="469" t="s">
        <v>117</v>
      </c>
      <c r="E335" s="468">
        <v>7860</v>
      </c>
      <c r="F335" s="463">
        <f t="shared" si="6"/>
        <v>14.732813123824982</v>
      </c>
      <c r="G335" s="464">
        <v>533.50300000000004</v>
      </c>
      <c r="H335" s="469" t="s">
        <v>186</v>
      </c>
      <c r="I335" s="247" t="s">
        <v>3508</v>
      </c>
      <c r="J335" s="247" t="s">
        <v>97</v>
      </c>
      <c r="K335" s="247" t="s">
        <v>1133</v>
      </c>
      <c r="L335" s="247" t="s">
        <v>154</v>
      </c>
      <c r="M335" s="414"/>
      <c r="N335" s="76"/>
      <c r="O335" s="76"/>
    </row>
    <row r="336" spans="1:15" s="331" customFormat="1">
      <c r="A336" s="476">
        <v>45911</v>
      </c>
      <c r="B336" s="469" t="s">
        <v>2100</v>
      </c>
      <c r="C336" s="462" t="s">
        <v>173</v>
      </c>
      <c r="D336" s="462" t="s">
        <v>118</v>
      </c>
      <c r="E336" s="359">
        <v>1000</v>
      </c>
      <c r="F336" s="463">
        <f t="shared" si="6"/>
        <v>1.8744037053212446</v>
      </c>
      <c r="G336" s="464">
        <v>533.50300000000004</v>
      </c>
      <c r="H336" s="465" t="s">
        <v>152</v>
      </c>
      <c r="I336" s="469" t="s">
        <v>2868</v>
      </c>
      <c r="J336" s="247" t="s">
        <v>97</v>
      </c>
      <c r="K336" s="247" t="s">
        <v>1133</v>
      </c>
      <c r="L336" s="247" t="s">
        <v>154</v>
      </c>
      <c r="M336" s="335"/>
      <c r="N336" s="335"/>
      <c r="O336" s="335"/>
    </row>
    <row r="337" spans="1:15" s="331" customFormat="1">
      <c r="A337" s="476">
        <v>45911</v>
      </c>
      <c r="B337" s="469" t="s">
        <v>2384</v>
      </c>
      <c r="C337" s="462" t="s">
        <v>173</v>
      </c>
      <c r="D337" s="462" t="s">
        <v>118</v>
      </c>
      <c r="E337" s="359">
        <v>1000</v>
      </c>
      <c r="F337" s="463">
        <f t="shared" si="6"/>
        <v>1.8744037053212446</v>
      </c>
      <c r="G337" s="464">
        <v>533.50300000000004</v>
      </c>
      <c r="H337" s="465" t="s">
        <v>152</v>
      </c>
      <c r="I337" s="469" t="s">
        <v>2868</v>
      </c>
      <c r="J337" s="247" t="s">
        <v>97</v>
      </c>
      <c r="K337" s="247" t="s">
        <v>1133</v>
      </c>
      <c r="L337" s="247" t="s">
        <v>154</v>
      </c>
      <c r="M337" s="335"/>
      <c r="N337" s="335"/>
      <c r="O337" s="335"/>
    </row>
    <row r="338" spans="1:15" s="331" customFormat="1">
      <c r="A338" s="474">
        <v>45911</v>
      </c>
      <c r="B338" s="216" t="s">
        <v>2887</v>
      </c>
      <c r="C338" s="216" t="s">
        <v>173</v>
      </c>
      <c r="D338" s="337" t="s">
        <v>116</v>
      </c>
      <c r="E338" s="475">
        <v>500</v>
      </c>
      <c r="F338" s="463">
        <f t="shared" si="6"/>
        <v>0.93720185266062228</v>
      </c>
      <c r="G338" s="464">
        <v>533.50300000000004</v>
      </c>
      <c r="H338" s="339" t="s">
        <v>1508</v>
      </c>
      <c r="I338" s="216" t="s">
        <v>2911</v>
      </c>
      <c r="J338" s="247" t="s">
        <v>97</v>
      </c>
      <c r="K338" s="247" t="s">
        <v>1133</v>
      </c>
      <c r="L338" s="247" t="s">
        <v>154</v>
      </c>
      <c r="M338" s="335"/>
      <c r="N338" s="335"/>
      <c r="O338" s="335"/>
    </row>
    <row r="339" spans="1:15" s="331" customFormat="1">
      <c r="A339" s="474">
        <v>45911</v>
      </c>
      <c r="B339" s="216" t="s">
        <v>2888</v>
      </c>
      <c r="C339" s="216" t="s">
        <v>173</v>
      </c>
      <c r="D339" s="337" t="s">
        <v>116</v>
      </c>
      <c r="E339" s="475">
        <v>500</v>
      </c>
      <c r="F339" s="463">
        <f t="shared" si="6"/>
        <v>0.93720185266062228</v>
      </c>
      <c r="G339" s="464">
        <v>533.50300000000004</v>
      </c>
      <c r="H339" s="339" t="s">
        <v>1508</v>
      </c>
      <c r="I339" s="216" t="s">
        <v>2911</v>
      </c>
      <c r="J339" s="247" t="s">
        <v>97</v>
      </c>
      <c r="K339" s="247" t="s">
        <v>1133</v>
      </c>
      <c r="L339" s="247" t="s">
        <v>154</v>
      </c>
      <c r="M339" s="335"/>
      <c r="N339" s="335"/>
      <c r="O339" s="335"/>
    </row>
    <row r="340" spans="1:15" s="331" customFormat="1">
      <c r="A340" s="474">
        <v>45911</v>
      </c>
      <c r="B340" s="475" t="s">
        <v>3033</v>
      </c>
      <c r="C340" s="475" t="s">
        <v>173</v>
      </c>
      <c r="D340" s="475" t="s">
        <v>120</v>
      </c>
      <c r="E340" s="475">
        <v>1000</v>
      </c>
      <c r="F340" s="463">
        <f t="shared" si="6"/>
        <v>1.8744037053212446</v>
      </c>
      <c r="G340" s="464">
        <v>533.50300000000004</v>
      </c>
      <c r="H340" s="475" t="s">
        <v>183</v>
      </c>
      <c r="I340" s="475" t="s">
        <v>3086</v>
      </c>
      <c r="J340" s="247" t="s">
        <v>97</v>
      </c>
      <c r="K340" s="247" t="s">
        <v>1133</v>
      </c>
      <c r="L340" s="247" t="s">
        <v>154</v>
      </c>
      <c r="M340" s="414"/>
      <c r="N340" s="414"/>
      <c r="O340" s="414"/>
    </row>
    <row r="341" spans="1:15" s="331" customFormat="1">
      <c r="A341" s="474">
        <v>45911</v>
      </c>
      <c r="B341" s="475" t="s">
        <v>3034</v>
      </c>
      <c r="C341" s="475" t="s">
        <v>173</v>
      </c>
      <c r="D341" s="475" t="s">
        <v>120</v>
      </c>
      <c r="E341" s="475">
        <v>1000</v>
      </c>
      <c r="F341" s="463">
        <f t="shared" si="6"/>
        <v>1.8744037053212446</v>
      </c>
      <c r="G341" s="464">
        <v>533.50300000000004</v>
      </c>
      <c r="H341" s="475" t="s">
        <v>183</v>
      </c>
      <c r="I341" s="475" t="s">
        <v>3086</v>
      </c>
      <c r="J341" s="247" t="s">
        <v>97</v>
      </c>
      <c r="K341" s="247" t="s">
        <v>1133</v>
      </c>
      <c r="L341" s="247" t="s">
        <v>154</v>
      </c>
      <c r="M341" s="414"/>
      <c r="N341" s="414"/>
      <c r="O341" s="414"/>
    </row>
    <row r="342" spans="1:15" s="331" customFormat="1">
      <c r="A342" s="474">
        <v>45911</v>
      </c>
      <c r="B342" s="475" t="s">
        <v>3035</v>
      </c>
      <c r="C342" s="475" t="s">
        <v>173</v>
      </c>
      <c r="D342" s="475" t="s">
        <v>120</v>
      </c>
      <c r="E342" s="475">
        <v>1000</v>
      </c>
      <c r="F342" s="463">
        <f t="shared" si="6"/>
        <v>1.8744037053212446</v>
      </c>
      <c r="G342" s="464">
        <v>533.50300000000004</v>
      </c>
      <c r="H342" s="475" t="s">
        <v>183</v>
      </c>
      <c r="I342" s="475" t="s">
        <v>3086</v>
      </c>
      <c r="J342" s="247" t="s">
        <v>97</v>
      </c>
      <c r="K342" s="247" t="s">
        <v>1133</v>
      </c>
      <c r="L342" s="247" t="s">
        <v>154</v>
      </c>
      <c r="M342" s="414"/>
      <c r="N342" s="414"/>
      <c r="O342" s="414"/>
    </row>
    <row r="343" spans="1:15" s="331" customFormat="1">
      <c r="A343" s="474">
        <v>45911</v>
      </c>
      <c r="B343" s="475" t="s">
        <v>3036</v>
      </c>
      <c r="C343" s="475" t="s">
        <v>173</v>
      </c>
      <c r="D343" s="475" t="s">
        <v>120</v>
      </c>
      <c r="E343" s="475">
        <v>1000</v>
      </c>
      <c r="F343" s="463">
        <f t="shared" si="6"/>
        <v>1.8744037053212446</v>
      </c>
      <c r="G343" s="464">
        <v>533.50300000000004</v>
      </c>
      <c r="H343" s="475" t="s">
        <v>183</v>
      </c>
      <c r="I343" s="475" t="s">
        <v>3086</v>
      </c>
      <c r="J343" s="247" t="s">
        <v>97</v>
      </c>
      <c r="K343" s="247" t="s">
        <v>1133</v>
      </c>
      <c r="L343" s="247" t="s">
        <v>154</v>
      </c>
      <c r="M343" s="414"/>
      <c r="N343" s="414"/>
      <c r="O343" s="414"/>
    </row>
    <row r="344" spans="1:15" s="331" customFormat="1">
      <c r="A344" s="474">
        <v>45911</v>
      </c>
      <c r="B344" s="475" t="s">
        <v>3037</v>
      </c>
      <c r="C344" s="475" t="s">
        <v>173</v>
      </c>
      <c r="D344" s="475" t="s">
        <v>120</v>
      </c>
      <c r="E344" s="475">
        <v>1000</v>
      </c>
      <c r="F344" s="463">
        <f t="shared" si="6"/>
        <v>1.8744037053212446</v>
      </c>
      <c r="G344" s="464">
        <v>533.50300000000004</v>
      </c>
      <c r="H344" s="475" t="s">
        <v>183</v>
      </c>
      <c r="I344" s="475" t="s">
        <v>3086</v>
      </c>
      <c r="J344" s="247" t="s">
        <v>97</v>
      </c>
      <c r="K344" s="247" t="s">
        <v>1133</v>
      </c>
      <c r="L344" s="247" t="s">
        <v>154</v>
      </c>
      <c r="M344" s="414"/>
      <c r="N344" s="414"/>
      <c r="O344" s="414"/>
    </row>
    <row r="345" spans="1:15" s="331" customFormat="1">
      <c r="A345" s="474">
        <v>45911</v>
      </c>
      <c r="B345" s="475" t="s">
        <v>3038</v>
      </c>
      <c r="C345" s="475" t="s">
        <v>173</v>
      </c>
      <c r="D345" s="475" t="s">
        <v>120</v>
      </c>
      <c r="E345" s="475">
        <v>1000</v>
      </c>
      <c r="F345" s="463">
        <f t="shared" si="6"/>
        <v>1.8744037053212446</v>
      </c>
      <c r="G345" s="464">
        <v>533.50300000000004</v>
      </c>
      <c r="H345" s="475" t="s">
        <v>183</v>
      </c>
      <c r="I345" s="475" t="s">
        <v>3086</v>
      </c>
      <c r="J345" s="247" t="s">
        <v>97</v>
      </c>
      <c r="K345" s="247" t="s">
        <v>1133</v>
      </c>
      <c r="L345" s="247" t="s">
        <v>154</v>
      </c>
      <c r="M345" s="414"/>
      <c r="N345" s="414"/>
      <c r="O345" s="414"/>
    </row>
    <row r="346" spans="1:15" s="331" customFormat="1">
      <c r="A346" s="474">
        <v>45911</v>
      </c>
      <c r="B346" s="475" t="s">
        <v>3039</v>
      </c>
      <c r="C346" s="475" t="s">
        <v>173</v>
      </c>
      <c r="D346" s="475" t="s">
        <v>120</v>
      </c>
      <c r="E346" s="475">
        <v>1000</v>
      </c>
      <c r="F346" s="463">
        <f t="shared" si="6"/>
        <v>1.8744037053212446</v>
      </c>
      <c r="G346" s="464">
        <v>533.50300000000004</v>
      </c>
      <c r="H346" s="475" t="s">
        <v>183</v>
      </c>
      <c r="I346" s="475" t="s">
        <v>3086</v>
      </c>
      <c r="J346" s="247" t="s">
        <v>97</v>
      </c>
      <c r="K346" s="247" t="s">
        <v>1133</v>
      </c>
      <c r="L346" s="247" t="s">
        <v>154</v>
      </c>
      <c r="M346" s="414"/>
      <c r="N346" s="414"/>
      <c r="O346" s="414"/>
    </row>
    <row r="347" spans="1:15" s="331" customFormat="1">
      <c r="A347" s="476">
        <v>45911</v>
      </c>
      <c r="B347" s="469" t="s">
        <v>3128</v>
      </c>
      <c r="C347" s="469" t="s">
        <v>173</v>
      </c>
      <c r="D347" s="469" t="s">
        <v>120</v>
      </c>
      <c r="E347" s="469">
        <v>1000</v>
      </c>
      <c r="F347" s="463">
        <f t="shared" si="6"/>
        <v>1.8744037053212446</v>
      </c>
      <c r="G347" s="464">
        <v>533.50300000000004</v>
      </c>
      <c r="H347" s="469" t="s">
        <v>174</v>
      </c>
      <c r="I347" s="469" t="s">
        <v>3196</v>
      </c>
      <c r="J347" s="247" t="s">
        <v>97</v>
      </c>
      <c r="K347" s="247" t="s">
        <v>1133</v>
      </c>
      <c r="L347" s="247" t="s">
        <v>154</v>
      </c>
      <c r="M347" s="414"/>
      <c r="N347" s="414"/>
      <c r="O347" s="414"/>
    </row>
    <row r="348" spans="1:15" s="331" customFormat="1">
      <c r="A348" s="476">
        <v>45911</v>
      </c>
      <c r="B348" s="469" t="s">
        <v>3129</v>
      </c>
      <c r="C348" s="469" t="s">
        <v>173</v>
      </c>
      <c r="D348" s="469" t="s">
        <v>120</v>
      </c>
      <c r="E348" s="469">
        <v>1000</v>
      </c>
      <c r="F348" s="463">
        <f t="shared" si="6"/>
        <v>1.8744037053212446</v>
      </c>
      <c r="G348" s="464">
        <v>533.50300000000004</v>
      </c>
      <c r="H348" s="469" t="s">
        <v>174</v>
      </c>
      <c r="I348" s="469" t="s">
        <v>3196</v>
      </c>
      <c r="J348" s="247" t="s">
        <v>97</v>
      </c>
      <c r="K348" s="247" t="s">
        <v>1133</v>
      </c>
      <c r="L348" s="247" t="s">
        <v>154</v>
      </c>
      <c r="M348" s="414"/>
      <c r="N348" s="414"/>
      <c r="O348" s="414"/>
    </row>
    <row r="349" spans="1:15" s="331" customFormat="1">
      <c r="A349" s="476">
        <v>45911</v>
      </c>
      <c r="B349" s="469" t="s">
        <v>3130</v>
      </c>
      <c r="C349" s="469" t="s">
        <v>173</v>
      </c>
      <c r="D349" s="469" t="s">
        <v>120</v>
      </c>
      <c r="E349" s="469">
        <v>1000</v>
      </c>
      <c r="F349" s="463">
        <f t="shared" si="6"/>
        <v>1.8744037053212446</v>
      </c>
      <c r="G349" s="464">
        <v>533.50300000000004</v>
      </c>
      <c r="H349" s="469" t="s">
        <v>174</v>
      </c>
      <c r="I349" s="469" t="s">
        <v>3196</v>
      </c>
      <c r="J349" s="247" t="s">
        <v>97</v>
      </c>
      <c r="K349" s="247" t="s">
        <v>1133</v>
      </c>
      <c r="L349" s="247" t="s">
        <v>154</v>
      </c>
      <c r="M349" s="414"/>
      <c r="N349" s="414"/>
      <c r="O349" s="414"/>
    </row>
    <row r="350" spans="1:15" s="331" customFormat="1">
      <c r="A350" s="476">
        <v>45911</v>
      </c>
      <c r="B350" s="469" t="s">
        <v>3131</v>
      </c>
      <c r="C350" s="469" t="s">
        <v>173</v>
      </c>
      <c r="D350" s="469" t="s">
        <v>120</v>
      </c>
      <c r="E350" s="469">
        <v>1000</v>
      </c>
      <c r="F350" s="463">
        <f t="shared" ref="F350:F413" si="7">E350/G350</f>
        <v>1.8744037053212446</v>
      </c>
      <c r="G350" s="464">
        <v>533.50300000000004</v>
      </c>
      <c r="H350" s="469" t="s">
        <v>174</v>
      </c>
      <c r="I350" s="469" t="s">
        <v>3196</v>
      </c>
      <c r="J350" s="247" t="s">
        <v>97</v>
      </c>
      <c r="K350" s="247" t="s">
        <v>1133</v>
      </c>
      <c r="L350" s="247" t="s">
        <v>154</v>
      </c>
      <c r="M350" s="414"/>
      <c r="N350" s="414"/>
      <c r="O350" s="414"/>
    </row>
    <row r="351" spans="1:15" s="331" customFormat="1">
      <c r="A351" s="476">
        <v>45911</v>
      </c>
      <c r="B351" s="469" t="s">
        <v>3132</v>
      </c>
      <c r="C351" s="469" t="s">
        <v>173</v>
      </c>
      <c r="D351" s="469" t="s">
        <v>120</v>
      </c>
      <c r="E351" s="469">
        <v>1000</v>
      </c>
      <c r="F351" s="463">
        <f t="shared" si="7"/>
        <v>1.8744037053212446</v>
      </c>
      <c r="G351" s="464">
        <v>533.50300000000004</v>
      </c>
      <c r="H351" s="469" t="s">
        <v>174</v>
      </c>
      <c r="I351" s="469" t="s">
        <v>3196</v>
      </c>
      <c r="J351" s="247" t="s">
        <v>97</v>
      </c>
      <c r="K351" s="247" t="s">
        <v>1133</v>
      </c>
      <c r="L351" s="247" t="s">
        <v>154</v>
      </c>
      <c r="M351" s="414"/>
      <c r="N351" s="414"/>
      <c r="O351" s="414"/>
    </row>
    <row r="352" spans="1:15" s="331" customFormat="1">
      <c r="A352" s="476">
        <v>45911</v>
      </c>
      <c r="B352" s="469" t="s">
        <v>3133</v>
      </c>
      <c r="C352" s="469" t="s">
        <v>173</v>
      </c>
      <c r="D352" s="469" t="s">
        <v>120</v>
      </c>
      <c r="E352" s="469">
        <v>1000</v>
      </c>
      <c r="F352" s="463">
        <f t="shared" si="7"/>
        <v>1.8744037053212446</v>
      </c>
      <c r="G352" s="464">
        <v>533.50300000000004</v>
      </c>
      <c r="H352" s="469" t="s">
        <v>174</v>
      </c>
      <c r="I352" s="469" t="s">
        <v>3196</v>
      </c>
      <c r="J352" s="247" t="s">
        <v>97</v>
      </c>
      <c r="K352" s="247" t="s">
        <v>1133</v>
      </c>
      <c r="L352" s="247" t="s">
        <v>154</v>
      </c>
      <c r="M352" s="414"/>
      <c r="N352" s="414"/>
      <c r="O352" s="414"/>
    </row>
    <row r="353" spans="1:15" s="331" customFormat="1">
      <c r="A353" s="476">
        <v>45911</v>
      </c>
      <c r="B353" s="469" t="s">
        <v>3134</v>
      </c>
      <c r="C353" s="469" t="s">
        <v>173</v>
      </c>
      <c r="D353" s="469" t="s">
        <v>120</v>
      </c>
      <c r="E353" s="469">
        <v>1000</v>
      </c>
      <c r="F353" s="463">
        <f t="shared" si="7"/>
        <v>1.8744037053212446</v>
      </c>
      <c r="G353" s="464">
        <v>533.50300000000004</v>
      </c>
      <c r="H353" s="469" t="s">
        <v>174</v>
      </c>
      <c r="I353" s="469" t="s">
        <v>3196</v>
      </c>
      <c r="J353" s="247" t="s">
        <v>97</v>
      </c>
      <c r="K353" s="247" t="s">
        <v>1133</v>
      </c>
      <c r="L353" s="247" t="s">
        <v>154</v>
      </c>
      <c r="M353" s="414"/>
      <c r="N353" s="414"/>
      <c r="O353" s="414"/>
    </row>
    <row r="354" spans="1:15" s="331" customFormat="1">
      <c r="A354" s="476">
        <v>45911</v>
      </c>
      <c r="B354" s="469" t="s">
        <v>3136</v>
      </c>
      <c r="C354" s="469" t="s">
        <v>173</v>
      </c>
      <c r="D354" s="469" t="s">
        <v>120</v>
      </c>
      <c r="E354" s="469">
        <v>1000</v>
      </c>
      <c r="F354" s="463">
        <f t="shared" si="7"/>
        <v>1.8744037053212446</v>
      </c>
      <c r="G354" s="464">
        <v>533.50300000000004</v>
      </c>
      <c r="H354" s="469" t="s">
        <v>174</v>
      </c>
      <c r="I354" s="469" t="s">
        <v>3196</v>
      </c>
      <c r="J354" s="247" t="s">
        <v>97</v>
      </c>
      <c r="K354" s="247" t="s">
        <v>1133</v>
      </c>
      <c r="L354" s="247" t="s">
        <v>154</v>
      </c>
      <c r="M354" s="414"/>
      <c r="N354" s="414"/>
      <c r="O354" s="414"/>
    </row>
    <row r="355" spans="1:15" s="424" customFormat="1">
      <c r="A355" s="471">
        <v>45911</v>
      </c>
      <c r="B355" s="247" t="s">
        <v>3137</v>
      </c>
      <c r="C355" s="247" t="s">
        <v>368</v>
      </c>
      <c r="D355" s="247" t="s">
        <v>120</v>
      </c>
      <c r="E355" s="247">
        <v>10500</v>
      </c>
      <c r="F355" s="463">
        <f t="shared" si="7"/>
        <v>19.681238905873066</v>
      </c>
      <c r="G355" s="464">
        <v>533.50300000000004</v>
      </c>
      <c r="H355" s="247" t="s">
        <v>174</v>
      </c>
      <c r="I355" s="247" t="s">
        <v>3201</v>
      </c>
      <c r="J355" s="247" t="s">
        <v>97</v>
      </c>
      <c r="K355" s="247" t="s">
        <v>1133</v>
      </c>
      <c r="L355" s="247" t="s">
        <v>154</v>
      </c>
      <c r="M355" s="335"/>
      <c r="N355" s="335"/>
      <c r="O355" s="335"/>
    </row>
    <row r="356" spans="1:15" s="331" customFormat="1">
      <c r="A356" s="471">
        <v>45911</v>
      </c>
      <c r="B356" s="469" t="s">
        <v>3349</v>
      </c>
      <c r="C356" s="247" t="s">
        <v>173</v>
      </c>
      <c r="D356" s="247" t="s">
        <v>116</v>
      </c>
      <c r="E356" s="468">
        <v>1000</v>
      </c>
      <c r="F356" s="463">
        <f t="shared" si="7"/>
        <v>1.8744037053212446</v>
      </c>
      <c r="G356" s="464">
        <v>533.50300000000004</v>
      </c>
      <c r="H356" s="247" t="s">
        <v>192</v>
      </c>
      <c r="I356" s="469" t="s">
        <v>3360</v>
      </c>
      <c r="J356" s="247" t="s">
        <v>97</v>
      </c>
      <c r="K356" s="247" t="s">
        <v>1133</v>
      </c>
      <c r="L356" s="247" t="s">
        <v>154</v>
      </c>
      <c r="M356" s="414"/>
      <c r="N356" s="76"/>
      <c r="O356" s="76"/>
    </row>
    <row r="357" spans="1:15" s="331" customFormat="1">
      <c r="A357" s="471">
        <v>45911</v>
      </c>
      <c r="B357" s="469" t="s">
        <v>2637</v>
      </c>
      <c r="C357" s="247" t="s">
        <v>173</v>
      </c>
      <c r="D357" s="247" t="s">
        <v>116</v>
      </c>
      <c r="E357" s="468">
        <v>1000</v>
      </c>
      <c r="F357" s="463">
        <f t="shared" si="7"/>
        <v>1.8744037053212446</v>
      </c>
      <c r="G357" s="464">
        <v>533.50300000000004</v>
      </c>
      <c r="H357" s="247" t="s">
        <v>192</v>
      </c>
      <c r="I357" s="469" t="s">
        <v>3360</v>
      </c>
      <c r="J357" s="247" t="s">
        <v>97</v>
      </c>
      <c r="K357" s="247" t="s">
        <v>1133</v>
      </c>
      <c r="L357" s="247" t="s">
        <v>154</v>
      </c>
      <c r="M357" s="414"/>
      <c r="N357" s="76"/>
      <c r="O357" s="76"/>
    </row>
    <row r="358" spans="1:15" s="331" customFormat="1">
      <c r="A358" s="461">
        <v>45911</v>
      </c>
      <c r="B358" s="469" t="s">
        <v>3391</v>
      </c>
      <c r="C358" s="359" t="s">
        <v>195</v>
      </c>
      <c r="D358" s="359" t="s">
        <v>116</v>
      </c>
      <c r="E358" s="472">
        <v>500</v>
      </c>
      <c r="F358" s="463">
        <f t="shared" si="7"/>
        <v>0.93720185266062228</v>
      </c>
      <c r="G358" s="464">
        <v>533.50300000000004</v>
      </c>
      <c r="H358" s="360" t="s">
        <v>437</v>
      </c>
      <c r="I358" s="469" t="s">
        <v>3411</v>
      </c>
      <c r="J358" s="247" t="s">
        <v>97</v>
      </c>
      <c r="K358" s="247" t="s">
        <v>1133</v>
      </c>
      <c r="L358" s="247" t="s">
        <v>154</v>
      </c>
      <c r="M358" s="414"/>
      <c r="N358" s="76"/>
      <c r="O358" s="76"/>
    </row>
    <row r="359" spans="1:15" s="331" customFormat="1">
      <c r="A359" s="461">
        <v>45911</v>
      </c>
      <c r="B359" s="469" t="s">
        <v>3377</v>
      </c>
      <c r="C359" s="359" t="s">
        <v>195</v>
      </c>
      <c r="D359" s="359" t="s">
        <v>116</v>
      </c>
      <c r="E359" s="472">
        <v>500</v>
      </c>
      <c r="F359" s="463">
        <f t="shared" si="7"/>
        <v>0.93720185266062228</v>
      </c>
      <c r="G359" s="464">
        <v>533.50300000000004</v>
      </c>
      <c r="H359" s="360" t="s">
        <v>437</v>
      </c>
      <c r="I359" s="469" t="s">
        <v>3411</v>
      </c>
      <c r="J359" s="247" t="s">
        <v>97</v>
      </c>
      <c r="K359" s="247" t="s">
        <v>1133</v>
      </c>
      <c r="L359" s="247" t="s">
        <v>154</v>
      </c>
      <c r="M359" s="414"/>
      <c r="N359" s="76"/>
      <c r="O359" s="76"/>
    </row>
    <row r="360" spans="1:15" s="331" customFormat="1">
      <c r="A360" s="461">
        <v>45911</v>
      </c>
      <c r="B360" s="469" t="s">
        <v>3392</v>
      </c>
      <c r="C360" s="359" t="s">
        <v>195</v>
      </c>
      <c r="D360" s="359" t="s">
        <v>116</v>
      </c>
      <c r="E360" s="472">
        <v>500</v>
      </c>
      <c r="F360" s="463">
        <f t="shared" si="7"/>
        <v>0.93720185266062228</v>
      </c>
      <c r="G360" s="464">
        <v>533.50300000000004</v>
      </c>
      <c r="H360" s="360" t="s">
        <v>437</v>
      </c>
      <c r="I360" s="469" t="s">
        <v>3411</v>
      </c>
      <c r="J360" s="247" t="s">
        <v>97</v>
      </c>
      <c r="K360" s="247" t="s">
        <v>1133</v>
      </c>
      <c r="L360" s="247" t="s">
        <v>154</v>
      </c>
      <c r="M360" s="414"/>
      <c r="N360" s="76"/>
      <c r="O360" s="76"/>
    </row>
    <row r="361" spans="1:15" s="331" customFormat="1">
      <c r="A361" s="461">
        <v>45911</v>
      </c>
      <c r="B361" s="469" t="s">
        <v>3377</v>
      </c>
      <c r="C361" s="359" t="s">
        <v>195</v>
      </c>
      <c r="D361" s="359" t="s">
        <v>116</v>
      </c>
      <c r="E361" s="472">
        <v>500</v>
      </c>
      <c r="F361" s="463">
        <f t="shared" si="7"/>
        <v>0.93720185266062228</v>
      </c>
      <c r="G361" s="464">
        <v>533.50300000000004</v>
      </c>
      <c r="H361" s="360" t="s">
        <v>437</v>
      </c>
      <c r="I361" s="469" t="s">
        <v>3411</v>
      </c>
      <c r="J361" s="247" t="s">
        <v>97</v>
      </c>
      <c r="K361" s="247" t="s">
        <v>1133</v>
      </c>
      <c r="L361" s="247" t="s">
        <v>154</v>
      </c>
      <c r="M361" s="414"/>
      <c r="N361" s="76"/>
      <c r="O361" s="76"/>
    </row>
    <row r="362" spans="1:15" s="331" customFormat="1">
      <c r="A362" s="461">
        <v>45912</v>
      </c>
      <c r="B362" s="247" t="s">
        <v>3378</v>
      </c>
      <c r="C362" s="243" t="s">
        <v>195</v>
      </c>
      <c r="D362" s="243" t="s">
        <v>116</v>
      </c>
      <c r="E362" s="478">
        <v>37000</v>
      </c>
      <c r="F362" s="463">
        <f t="shared" si="7"/>
        <v>65.960473631854981</v>
      </c>
      <c r="G362" s="464">
        <v>560.94200000000001</v>
      </c>
      <c r="H362" s="243" t="s">
        <v>437</v>
      </c>
      <c r="I362" s="247" t="s">
        <v>3413</v>
      </c>
      <c r="J362" s="247" t="s">
        <v>97</v>
      </c>
      <c r="K362" s="247" t="s">
        <v>1903</v>
      </c>
      <c r="L362" s="247" t="s">
        <v>154</v>
      </c>
      <c r="M362" s="335"/>
      <c r="N362" s="127"/>
      <c r="O362" s="127"/>
    </row>
    <row r="363" spans="1:15" s="331" customFormat="1">
      <c r="A363" s="476">
        <v>45911</v>
      </c>
      <c r="B363" s="469" t="s">
        <v>3492</v>
      </c>
      <c r="C363" s="469" t="s">
        <v>173</v>
      </c>
      <c r="D363" s="469" t="s">
        <v>116</v>
      </c>
      <c r="E363" s="469">
        <v>500</v>
      </c>
      <c r="F363" s="463">
        <f t="shared" si="7"/>
        <v>0.93720185266062228</v>
      </c>
      <c r="G363" s="464">
        <v>533.50300000000004</v>
      </c>
      <c r="H363" s="469" t="s">
        <v>186</v>
      </c>
      <c r="I363" s="469" t="s">
        <v>3504</v>
      </c>
      <c r="J363" s="247" t="s">
        <v>97</v>
      </c>
      <c r="K363" s="247" t="s">
        <v>1133</v>
      </c>
      <c r="L363" s="247" t="s">
        <v>154</v>
      </c>
      <c r="M363" s="414"/>
      <c r="N363" s="76"/>
      <c r="O363" s="76"/>
    </row>
    <row r="364" spans="1:15" s="331" customFormat="1">
      <c r="A364" s="476">
        <v>45911</v>
      </c>
      <c r="B364" s="469" t="s">
        <v>2757</v>
      </c>
      <c r="C364" s="469" t="s">
        <v>173</v>
      </c>
      <c r="D364" s="469" t="s">
        <v>116</v>
      </c>
      <c r="E364" s="469">
        <v>500</v>
      </c>
      <c r="F364" s="463">
        <f t="shared" si="7"/>
        <v>0.93720185266062228</v>
      </c>
      <c r="G364" s="464">
        <v>533.50300000000004</v>
      </c>
      <c r="H364" s="469" t="s">
        <v>186</v>
      </c>
      <c r="I364" s="469" t="s">
        <v>3504</v>
      </c>
      <c r="J364" s="247" t="s">
        <v>97</v>
      </c>
      <c r="K364" s="247" t="s">
        <v>1133</v>
      </c>
      <c r="L364" s="247" t="s">
        <v>154</v>
      </c>
      <c r="M364" s="414"/>
      <c r="N364" s="76"/>
      <c r="O364" s="76"/>
    </row>
    <row r="365" spans="1:15" s="331" customFormat="1">
      <c r="A365" s="471">
        <v>45911</v>
      </c>
      <c r="B365" s="247" t="s">
        <v>2358</v>
      </c>
      <c r="C365" s="469" t="s">
        <v>181</v>
      </c>
      <c r="D365" s="469" t="s">
        <v>117</v>
      </c>
      <c r="E365" s="468">
        <v>7200</v>
      </c>
      <c r="F365" s="463">
        <f t="shared" si="7"/>
        <v>13.49570667831296</v>
      </c>
      <c r="G365" s="464">
        <v>533.50300000000004</v>
      </c>
      <c r="H365" s="469" t="s">
        <v>186</v>
      </c>
      <c r="I365" s="247" t="s">
        <v>3509</v>
      </c>
      <c r="J365" s="247" t="s">
        <v>97</v>
      </c>
      <c r="K365" s="247" t="s">
        <v>1133</v>
      </c>
      <c r="L365" s="247" t="s">
        <v>154</v>
      </c>
      <c r="M365" s="414"/>
      <c r="N365" s="76"/>
      <c r="O365" s="76"/>
    </row>
    <row r="366" spans="1:15" s="331" customFormat="1">
      <c r="A366" s="476">
        <v>45912</v>
      </c>
      <c r="B366" s="469" t="s">
        <v>2100</v>
      </c>
      <c r="C366" s="462" t="s">
        <v>173</v>
      </c>
      <c r="D366" s="462" t="s">
        <v>118</v>
      </c>
      <c r="E366" s="359">
        <v>1000</v>
      </c>
      <c r="F366" s="463">
        <f t="shared" si="7"/>
        <v>1.8744037053212446</v>
      </c>
      <c r="G366" s="464">
        <v>533.50300000000004</v>
      </c>
      <c r="H366" s="465" t="s">
        <v>152</v>
      </c>
      <c r="I366" s="469" t="s">
        <v>2868</v>
      </c>
      <c r="J366" s="247" t="s">
        <v>97</v>
      </c>
      <c r="K366" s="247" t="s">
        <v>1133</v>
      </c>
      <c r="L366" s="247" t="s">
        <v>154</v>
      </c>
      <c r="M366" s="335"/>
      <c r="N366" s="335"/>
      <c r="O366" s="335"/>
    </row>
    <row r="367" spans="1:15" s="331" customFormat="1">
      <c r="A367" s="476">
        <v>45912</v>
      </c>
      <c r="B367" s="469" t="s">
        <v>2856</v>
      </c>
      <c r="C367" s="462" t="s">
        <v>173</v>
      </c>
      <c r="D367" s="462" t="s">
        <v>118</v>
      </c>
      <c r="E367" s="359">
        <v>1000</v>
      </c>
      <c r="F367" s="463">
        <f t="shared" si="7"/>
        <v>1.8744037053212446</v>
      </c>
      <c r="G367" s="464">
        <v>533.50300000000004</v>
      </c>
      <c r="H367" s="465" t="s">
        <v>152</v>
      </c>
      <c r="I367" s="469" t="s">
        <v>2868</v>
      </c>
      <c r="J367" s="247" t="s">
        <v>97</v>
      </c>
      <c r="K367" s="247" t="s">
        <v>1133</v>
      </c>
      <c r="L367" s="247" t="s">
        <v>154</v>
      </c>
      <c r="M367" s="335"/>
      <c r="N367" s="335"/>
      <c r="O367" s="335"/>
    </row>
    <row r="368" spans="1:15" s="331" customFormat="1">
      <c r="A368" s="476">
        <v>45912</v>
      </c>
      <c r="B368" s="469" t="s">
        <v>2101</v>
      </c>
      <c r="C368" s="462" t="s">
        <v>173</v>
      </c>
      <c r="D368" s="462" t="s">
        <v>118</v>
      </c>
      <c r="E368" s="359">
        <v>1000</v>
      </c>
      <c r="F368" s="463">
        <f t="shared" si="7"/>
        <v>1.8744037053212446</v>
      </c>
      <c r="G368" s="464">
        <v>533.50300000000004</v>
      </c>
      <c r="H368" s="465" t="s">
        <v>152</v>
      </c>
      <c r="I368" s="469" t="s">
        <v>2868</v>
      </c>
      <c r="J368" s="247" t="s">
        <v>97</v>
      </c>
      <c r="K368" s="247" t="s">
        <v>1133</v>
      </c>
      <c r="L368" s="247" t="s">
        <v>154</v>
      </c>
      <c r="M368" s="335"/>
      <c r="N368" s="335"/>
      <c r="O368" s="335"/>
    </row>
    <row r="369" spans="1:15" s="331" customFormat="1">
      <c r="A369" s="474">
        <v>45912</v>
      </c>
      <c r="B369" s="216" t="s">
        <v>3612</v>
      </c>
      <c r="C369" s="216" t="s">
        <v>2391</v>
      </c>
      <c r="D369" s="337" t="s">
        <v>116</v>
      </c>
      <c r="E369" s="475">
        <v>270000</v>
      </c>
      <c r="F369" s="463">
        <f t="shared" si="7"/>
        <v>506.089000436736</v>
      </c>
      <c r="G369" s="464">
        <v>533.50300000000004</v>
      </c>
      <c r="H369" s="339" t="s">
        <v>1508</v>
      </c>
      <c r="I369" s="216" t="s">
        <v>2918</v>
      </c>
      <c r="J369" s="247" t="s">
        <v>97</v>
      </c>
      <c r="K369" s="247" t="s">
        <v>1133</v>
      </c>
      <c r="L369" s="247" t="s">
        <v>154</v>
      </c>
      <c r="M369" s="335"/>
      <c r="N369" s="335"/>
      <c r="O369" s="335"/>
    </row>
    <row r="370" spans="1:15" s="331" customFormat="1">
      <c r="A370" s="474">
        <v>45912</v>
      </c>
      <c r="B370" s="216" t="s">
        <v>2889</v>
      </c>
      <c r="C370" s="216" t="s">
        <v>173</v>
      </c>
      <c r="D370" s="337" t="s">
        <v>116</v>
      </c>
      <c r="E370" s="475">
        <v>500</v>
      </c>
      <c r="F370" s="463">
        <f t="shared" si="7"/>
        <v>0.93720185266062228</v>
      </c>
      <c r="G370" s="464">
        <v>533.50300000000004</v>
      </c>
      <c r="H370" s="339" t="s">
        <v>1508</v>
      </c>
      <c r="I370" s="216" t="s">
        <v>2911</v>
      </c>
      <c r="J370" s="247" t="s">
        <v>97</v>
      </c>
      <c r="K370" s="247" t="s">
        <v>1133</v>
      </c>
      <c r="L370" s="247" t="s">
        <v>154</v>
      </c>
      <c r="M370" s="335"/>
      <c r="N370" s="335"/>
      <c r="O370" s="335"/>
    </row>
    <row r="371" spans="1:15" s="331" customFormat="1">
      <c r="A371" s="474">
        <v>45912</v>
      </c>
      <c r="B371" s="216" t="s">
        <v>2890</v>
      </c>
      <c r="C371" s="216" t="s">
        <v>173</v>
      </c>
      <c r="D371" s="337" t="s">
        <v>116</v>
      </c>
      <c r="E371" s="475">
        <v>37000</v>
      </c>
      <c r="F371" s="463">
        <f t="shared" si="7"/>
        <v>69.352937096886052</v>
      </c>
      <c r="G371" s="464">
        <v>533.50300000000004</v>
      </c>
      <c r="H371" s="339" t="s">
        <v>1508</v>
      </c>
      <c r="I371" s="216" t="s">
        <v>2919</v>
      </c>
      <c r="J371" s="247" t="s">
        <v>97</v>
      </c>
      <c r="K371" s="247" t="s">
        <v>1133</v>
      </c>
      <c r="L371" s="247" t="s">
        <v>154</v>
      </c>
      <c r="M371" s="335"/>
      <c r="N371" s="335"/>
      <c r="O371" s="335"/>
    </row>
    <row r="372" spans="1:15" s="331" customFormat="1">
      <c r="A372" s="474">
        <v>45912</v>
      </c>
      <c r="B372" s="475" t="s">
        <v>3040</v>
      </c>
      <c r="C372" s="475" t="s">
        <v>173</v>
      </c>
      <c r="D372" s="475" t="s">
        <v>120</v>
      </c>
      <c r="E372" s="475">
        <v>1000</v>
      </c>
      <c r="F372" s="463">
        <f t="shared" si="7"/>
        <v>1.8744037053212446</v>
      </c>
      <c r="G372" s="464">
        <v>533.50300000000004</v>
      </c>
      <c r="H372" s="475" t="s">
        <v>183</v>
      </c>
      <c r="I372" s="475" t="s">
        <v>3086</v>
      </c>
      <c r="J372" s="247" t="s">
        <v>97</v>
      </c>
      <c r="K372" s="247" t="s">
        <v>1133</v>
      </c>
      <c r="L372" s="247" t="s">
        <v>154</v>
      </c>
      <c r="M372" s="414"/>
      <c r="N372" s="414"/>
      <c r="O372" s="414"/>
    </row>
    <row r="373" spans="1:15" s="331" customFormat="1">
      <c r="A373" s="474">
        <v>45912</v>
      </c>
      <c r="B373" s="475" t="s">
        <v>3041</v>
      </c>
      <c r="C373" s="475" t="s">
        <v>173</v>
      </c>
      <c r="D373" s="475" t="s">
        <v>120</v>
      </c>
      <c r="E373" s="475">
        <v>1500</v>
      </c>
      <c r="F373" s="463">
        <f t="shared" si="7"/>
        <v>2.8116055579818666</v>
      </c>
      <c r="G373" s="464">
        <v>533.50300000000004</v>
      </c>
      <c r="H373" s="475" t="s">
        <v>183</v>
      </c>
      <c r="I373" s="475" t="s">
        <v>3086</v>
      </c>
      <c r="J373" s="247" t="s">
        <v>97</v>
      </c>
      <c r="K373" s="247" t="s">
        <v>1133</v>
      </c>
      <c r="L373" s="247" t="s">
        <v>154</v>
      </c>
      <c r="M373" s="414"/>
      <c r="N373" s="414"/>
      <c r="O373" s="414"/>
    </row>
    <row r="374" spans="1:15" s="331" customFormat="1">
      <c r="A374" s="474">
        <v>45912</v>
      </c>
      <c r="B374" s="475" t="s">
        <v>3042</v>
      </c>
      <c r="C374" s="475" t="s">
        <v>173</v>
      </c>
      <c r="D374" s="475" t="s">
        <v>120</v>
      </c>
      <c r="E374" s="475">
        <v>1000</v>
      </c>
      <c r="F374" s="463">
        <f t="shared" si="7"/>
        <v>1.8744037053212446</v>
      </c>
      <c r="G374" s="464">
        <v>533.50300000000004</v>
      </c>
      <c r="H374" s="475" t="s">
        <v>183</v>
      </c>
      <c r="I374" s="475" t="s">
        <v>3086</v>
      </c>
      <c r="J374" s="247" t="s">
        <v>97</v>
      </c>
      <c r="K374" s="247" t="s">
        <v>1133</v>
      </c>
      <c r="L374" s="247" t="s">
        <v>154</v>
      </c>
      <c r="M374" s="414"/>
      <c r="N374" s="414"/>
      <c r="O374" s="414"/>
    </row>
    <row r="375" spans="1:15" s="331" customFormat="1">
      <c r="A375" s="474">
        <v>45912</v>
      </c>
      <c r="B375" s="475" t="s">
        <v>3043</v>
      </c>
      <c r="C375" s="475" t="s">
        <v>173</v>
      </c>
      <c r="D375" s="475" t="s">
        <v>120</v>
      </c>
      <c r="E375" s="475">
        <v>1000</v>
      </c>
      <c r="F375" s="463">
        <f t="shared" si="7"/>
        <v>1.8744037053212446</v>
      </c>
      <c r="G375" s="464">
        <v>533.50300000000004</v>
      </c>
      <c r="H375" s="475" t="s">
        <v>183</v>
      </c>
      <c r="I375" s="475" t="s">
        <v>3086</v>
      </c>
      <c r="J375" s="247" t="s">
        <v>97</v>
      </c>
      <c r="K375" s="247" t="s">
        <v>1133</v>
      </c>
      <c r="L375" s="247" t="s">
        <v>154</v>
      </c>
      <c r="M375" s="414"/>
      <c r="N375" s="414"/>
      <c r="O375" s="414"/>
    </row>
    <row r="376" spans="1:15" s="331" customFormat="1">
      <c r="A376" s="474">
        <v>45912</v>
      </c>
      <c r="B376" s="475" t="s">
        <v>3044</v>
      </c>
      <c r="C376" s="475" t="s">
        <v>173</v>
      </c>
      <c r="D376" s="475" t="s">
        <v>120</v>
      </c>
      <c r="E376" s="475">
        <v>1000</v>
      </c>
      <c r="F376" s="463">
        <f t="shared" si="7"/>
        <v>1.8744037053212446</v>
      </c>
      <c r="G376" s="464">
        <v>533.50300000000004</v>
      </c>
      <c r="H376" s="475" t="s">
        <v>183</v>
      </c>
      <c r="I376" s="475" t="s">
        <v>3086</v>
      </c>
      <c r="J376" s="247" t="s">
        <v>97</v>
      </c>
      <c r="K376" s="247" t="s">
        <v>1133</v>
      </c>
      <c r="L376" s="247" t="s">
        <v>154</v>
      </c>
      <c r="M376" s="414"/>
      <c r="N376" s="414"/>
      <c r="O376" s="414"/>
    </row>
    <row r="377" spans="1:15" s="331" customFormat="1">
      <c r="A377" s="474">
        <v>45912</v>
      </c>
      <c r="B377" s="475" t="s">
        <v>3045</v>
      </c>
      <c r="C377" s="475" t="s">
        <v>173</v>
      </c>
      <c r="D377" s="475" t="s">
        <v>120</v>
      </c>
      <c r="E377" s="475">
        <v>1000</v>
      </c>
      <c r="F377" s="463">
        <f t="shared" si="7"/>
        <v>1.8744037053212446</v>
      </c>
      <c r="G377" s="464">
        <v>533.50300000000004</v>
      </c>
      <c r="H377" s="475" t="s">
        <v>183</v>
      </c>
      <c r="I377" s="475" t="s">
        <v>3086</v>
      </c>
      <c r="J377" s="247" t="s">
        <v>97</v>
      </c>
      <c r="K377" s="247" t="s">
        <v>1133</v>
      </c>
      <c r="L377" s="247" t="s">
        <v>154</v>
      </c>
      <c r="M377" s="414"/>
      <c r="N377" s="414"/>
      <c r="O377" s="414"/>
    </row>
    <row r="378" spans="1:15" s="331" customFormat="1">
      <c r="A378" s="476">
        <v>45912</v>
      </c>
      <c r="B378" s="469" t="s">
        <v>4065</v>
      </c>
      <c r="C378" s="469" t="s">
        <v>173</v>
      </c>
      <c r="D378" s="469" t="s">
        <v>120</v>
      </c>
      <c r="E378" s="469">
        <v>1000</v>
      </c>
      <c r="F378" s="463">
        <f t="shared" si="7"/>
        <v>1.8744037053212446</v>
      </c>
      <c r="G378" s="464">
        <v>533.50300000000004</v>
      </c>
      <c r="H378" s="469" t="s">
        <v>174</v>
      </c>
      <c r="I378" s="469" t="s">
        <v>3196</v>
      </c>
      <c r="J378" s="247" t="s">
        <v>97</v>
      </c>
      <c r="K378" s="247" t="s">
        <v>1133</v>
      </c>
      <c r="L378" s="247" t="s">
        <v>154</v>
      </c>
      <c r="M378" s="414"/>
      <c r="N378" s="414"/>
      <c r="O378" s="414"/>
    </row>
    <row r="379" spans="1:15" s="331" customFormat="1">
      <c r="A379" s="476">
        <v>45912</v>
      </c>
      <c r="B379" s="469" t="s">
        <v>4066</v>
      </c>
      <c r="C379" s="469" t="s">
        <v>173</v>
      </c>
      <c r="D379" s="469" t="s">
        <v>120</v>
      </c>
      <c r="E379" s="469">
        <v>1000</v>
      </c>
      <c r="F379" s="463">
        <f t="shared" si="7"/>
        <v>1.8744037053212446</v>
      </c>
      <c r="G379" s="464">
        <v>533.50300000000004</v>
      </c>
      <c r="H379" s="469" t="s">
        <v>174</v>
      </c>
      <c r="I379" s="469" t="s">
        <v>3196</v>
      </c>
      <c r="J379" s="247" t="s">
        <v>97</v>
      </c>
      <c r="K379" s="247" t="s">
        <v>1133</v>
      </c>
      <c r="L379" s="247" t="s">
        <v>154</v>
      </c>
      <c r="M379" s="414"/>
      <c r="N379" s="414"/>
      <c r="O379" s="414"/>
    </row>
    <row r="380" spans="1:15" s="331" customFormat="1">
      <c r="A380" s="476">
        <v>45912</v>
      </c>
      <c r="B380" s="469" t="s">
        <v>4026</v>
      </c>
      <c r="C380" s="469" t="s">
        <v>173</v>
      </c>
      <c r="D380" s="469" t="s">
        <v>120</v>
      </c>
      <c r="E380" s="469">
        <v>1000</v>
      </c>
      <c r="F380" s="463">
        <f t="shared" si="7"/>
        <v>1.8744037053212446</v>
      </c>
      <c r="G380" s="464">
        <v>533.50300000000004</v>
      </c>
      <c r="H380" s="469" t="s">
        <v>174</v>
      </c>
      <c r="I380" s="469" t="s">
        <v>3196</v>
      </c>
      <c r="J380" s="247" t="s">
        <v>97</v>
      </c>
      <c r="K380" s="247" t="s">
        <v>1133</v>
      </c>
      <c r="L380" s="247" t="s">
        <v>154</v>
      </c>
      <c r="M380" s="414"/>
      <c r="N380" s="414"/>
      <c r="O380" s="414"/>
    </row>
    <row r="381" spans="1:15" s="331" customFormat="1">
      <c r="A381" s="476">
        <v>45912</v>
      </c>
      <c r="B381" s="469" t="s">
        <v>4027</v>
      </c>
      <c r="C381" s="469" t="s">
        <v>173</v>
      </c>
      <c r="D381" s="469" t="s">
        <v>120</v>
      </c>
      <c r="E381" s="469">
        <v>1000</v>
      </c>
      <c r="F381" s="463">
        <f t="shared" si="7"/>
        <v>1.8744037053212446</v>
      </c>
      <c r="G381" s="464">
        <v>533.50300000000004</v>
      </c>
      <c r="H381" s="469" t="s">
        <v>174</v>
      </c>
      <c r="I381" s="469" t="s">
        <v>3196</v>
      </c>
      <c r="J381" s="247" t="s">
        <v>97</v>
      </c>
      <c r="K381" s="247" t="s">
        <v>1133</v>
      </c>
      <c r="L381" s="247" t="s">
        <v>154</v>
      </c>
      <c r="M381" s="414"/>
      <c r="N381" s="414"/>
      <c r="O381" s="414"/>
    </row>
    <row r="382" spans="1:15" s="331" customFormat="1">
      <c r="A382" s="471">
        <v>45912</v>
      </c>
      <c r="B382" s="469" t="s">
        <v>3350</v>
      </c>
      <c r="C382" s="247" t="s">
        <v>173</v>
      </c>
      <c r="D382" s="247" t="s">
        <v>116</v>
      </c>
      <c r="E382" s="468">
        <v>1000</v>
      </c>
      <c r="F382" s="463">
        <f t="shared" si="7"/>
        <v>1.8744037053212446</v>
      </c>
      <c r="G382" s="464">
        <v>533.50300000000004</v>
      </c>
      <c r="H382" s="247" t="s">
        <v>192</v>
      </c>
      <c r="I382" s="469" t="s">
        <v>3360</v>
      </c>
      <c r="J382" s="247" t="s">
        <v>97</v>
      </c>
      <c r="K382" s="247" t="s">
        <v>1133</v>
      </c>
      <c r="L382" s="247" t="s">
        <v>154</v>
      </c>
      <c r="M382" s="414"/>
      <c r="N382" s="76"/>
      <c r="O382" s="76"/>
    </row>
    <row r="383" spans="1:15" s="331" customFormat="1">
      <c r="A383" s="471">
        <v>45912</v>
      </c>
      <c r="B383" s="469" t="s">
        <v>3351</v>
      </c>
      <c r="C383" s="247" t="s">
        <v>173</v>
      </c>
      <c r="D383" s="247" t="s">
        <v>116</v>
      </c>
      <c r="E383" s="468">
        <v>1000</v>
      </c>
      <c r="F383" s="463">
        <f t="shared" si="7"/>
        <v>1.8744037053212446</v>
      </c>
      <c r="G383" s="464">
        <v>533.50300000000004</v>
      </c>
      <c r="H383" s="247" t="s">
        <v>192</v>
      </c>
      <c r="I383" s="469" t="s">
        <v>3360</v>
      </c>
      <c r="J383" s="247" t="s">
        <v>97</v>
      </c>
      <c r="K383" s="247" t="s">
        <v>1133</v>
      </c>
      <c r="L383" s="247" t="s">
        <v>154</v>
      </c>
      <c r="M383" s="414"/>
      <c r="N383" s="76"/>
      <c r="O383" s="76"/>
    </row>
    <row r="384" spans="1:15" s="331" customFormat="1">
      <c r="A384" s="471">
        <v>45912</v>
      </c>
      <c r="B384" s="469" t="s">
        <v>3352</v>
      </c>
      <c r="C384" s="469" t="s">
        <v>125</v>
      </c>
      <c r="D384" s="469" t="s">
        <v>117</v>
      </c>
      <c r="E384" s="468">
        <v>55270</v>
      </c>
      <c r="F384" s="463">
        <f t="shared" si="7"/>
        <v>103.59829279310519</v>
      </c>
      <c r="G384" s="464">
        <v>533.50300000000004</v>
      </c>
      <c r="H384" s="469" t="s">
        <v>192</v>
      </c>
      <c r="I384" s="247" t="s">
        <v>3369</v>
      </c>
      <c r="J384" s="247" t="s">
        <v>97</v>
      </c>
      <c r="K384" s="247" t="s">
        <v>1133</v>
      </c>
      <c r="L384" s="247" t="s">
        <v>154</v>
      </c>
      <c r="M384" s="414"/>
      <c r="N384" s="76"/>
      <c r="O384" s="76"/>
    </row>
    <row r="385" spans="1:15" s="422" customFormat="1">
      <c r="A385" s="461">
        <v>45912</v>
      </c>
      <c r="B385" s="247" t="s">
        <v>3393</v>
      </c>
      <c r="C385" s="247" t="s">
        <v>176</v>
      </c>
      <c r="D385" s="247" t="s">
        <v>116</v>
      </c>
      <c r="E385" s="478">
        <v>405000</v>
      </c>
      <c r="F385" s="463">
        <f t="shared" si="7"/>
        <v>759.13350065510406</v>
      </c>
      <c r="G385" s="464">
        <v>533.50300000000004</v>
      </c>
      <c r="H385" s="360" t="s">
        <v>437</v>
      </c>
      <c r="I385" s="469" t="s">
        <v>3419</v>
      </c>
      <c r="J385" s="247" t="s">
        <v>97</v>
      </c>
      <c r="K385" s="247" t="s">
        <v>1133</v>
      </c>
      <c r="L385" s="247" t="s">
        <v>154</v>
      </c>
      <c r="M385" s="414"/>
      <c r="N385" s="76"/>
      <c r="O385" s="76"/>
    </row>
    <row r="386" spans="1:15" s="331" customFormat="1">
      <c r="A386" s="461">
        <v>45912</v>
      </c>
      <c r="B386" s="469" t="s">
        <v>3394</v>
      </c>
      <c r="C386" s="359" t="s">
        <v>195</v>
      </c>
      <c r="D386" s="359" t="s">
        <v>116</v>
      </c>
      <c r="E386" s="472">
        <v>500</v>
      </c>
      <c r="F386" s="463">
        <f t="shared" si="7"/>
        <v>0.93720185266062228</v>
      </c>
      <c r="G386" s="464">
        <v>533.50300000000004</v>
      </c>
      <c r="H386" s="360" t="s">
        <v>437</v>
      </c>
      <c r="I386" s="469" t="s">
        <v>3411</v>
      </c>
      <c r="J386" s="247" t="s">
        <v>97</v>
      </c>
      <c r="K386" s="247" t="s">
        <v>1133</v>
      </c>
      <c r="L386" s="247" t="s">
        <v>154</v>
      </c>
      <c r="M386" s="414"/>
      <c r="N386" s="76"/>
      <c r="O386" s="76"/>
    </row>
    <row r="387" spans="1:15" s="331" customFormat="1">
      <c r="A387" s="461">
        <v>45912</v>
      </c>
      <c r="B387" s="469" t="s">
        <v>3395</v>
      </c>
      <c r="C387" s="359" t="s">
        <v>195</v>
      </c>
      <c r="D387" s="359" t="s">
        <v>116</v>
      </c>
      <c r="E387" s="472">
        <v>500</v>
      </c>
      <c r="F387" s="463">
        <f t="shared" si="7"/>
        <v>0.93720185266062228</v>
      </c>
      <c r="G387" s="464">
        <v>533.50300000000004</v>
      </c>
      <c r="H387" s="360" t="s">
        <v>437</v>
      </c>
      <c r="I387" s="469" t="s">
        <v>3411</v>
      </c>
      <c r="J387" s="247" t="s">
        <v>97</v>
      </c>
      <c r="K387" s="247" t="s">
        <v>1133</v>
      </c>
      <c r="L387" s="247" t="s">
        <v>154</v>
      </c>
      <c r="M387" s="414"/>
      <c r="N387" s="76"/>
      <c r="O387" s="76"/>
    </row>
    <row r="388" spans="1:15" s="331" customFormat="1">
      <c r="A388" s="474">
        <v>45913</v>
      </c>
      <c r="B388" s="216" t="s">
        <v>3613</v>
      </c>
      <c r="C388" s="216" t="s">
        <v>2391</v>
      </c>
      <c r="D388" s="337" t="s">
        <v>116</v>
      </c>
      <c r="E388" s="475">
        <v>15000</v>
      </c>
      <c r="F388" s="463">
        <f t="shared" si="7"/>
        <v>28.116055579818667</v>
      </c>
      <c r="G388" s="464">
        <v>533.50300000000004</v>
      </c>
      <c r="H388" s="339" t="s">
        <v>1508</v>
      </c>
      <c r="I388" s="216" t="s">
        <v>2920</v>
      </c>
      <c r="J388" s="247" t="s">
        <v>97</v>
      </c>
      <c r="K388" s="247" t="s">
        <v>1133</v>
      </c>
      <c r="L388" s="247" t="s">
        <v>154</v>
      </c>
      <c r="M388" s="335"/>
      <c r="N388" s="335"/>
      <c r="O388" s="335"/>
    </row>
    <row r="389" spans="1:15" s="331" customFormat="1">
      <c r="A389" s="474">
        <v>45913</v>
      </c>
      <c r="B389" s="475" t="s">
        <v>4067</v>
      </c>
      <c r="C389" s="475" t="s">
        <v>173</v>
      </c>
      <c r="D389" s="475" t="s">
        <v>120</v>
      </c>
      <c r="E389" s="475">
        <v>1000</v>
      </c>
      <c r="F389" s="463">
        <f t="shared" si="7"/>
        <v>1.8744037053212446</v>
      </c>
      <c r="G389" s="464">
        <v>533.50300000000004</v>
      </c>
      <c r="H389" s="475" t="s">
        <v>183</v>
      </c>
      <c r="I389" s="475" t="s">
        <v>3086</v>
      </c>
      <c r="J389" s="247" t="s">
        <v>97</v>
      </c>
      <c r="K389" s="247" t="s">
        <v>1133</v>
      </c>
      <c r="L389" s="247" t="s">
        <v>154</v>
      </c>
      <c r="M389" s="414"/>
      <c r="N389" s="414"/>
      <c r="O389" s="414"/>
    </row>
    <row r="390" spans="1:15" s="331" customFormat="1">
      <c r="A390" s="474">
        <v>45913</v>
      </c>
      <c r="B390" s="475" t="s">
        <v>3046</v>
      </c>
      <c r="C390" s="475" t="s">
        <v>173</v>
      </c>
      <c r="D390" s="475" t="s">
        <v>120</v>
      </c>
      <c r="E390" s="475">
        <v>1000</v>
      </c>
      <c r="F390" s="463">
        <f t="shared" si="7"/>
        <v>1.8744037053212446</v>
      </c>
      <c r="G390" s="464">
        <v>533.50300000000004</v>
      </c>
      <c r="H390" s="475" t="s">
        <v>183</v>
      </c>
      <c r="I390" s="475" t="s">
        <v>3086</v>
      </c>
      <c r="J390" s="247" t="s">
        <v>97</v>
      </c>
      <c r="K390" s="247" t="s">
        <v>1133</v>
      </c>
      <c r="L390" s="247" t="s">
        <v>154</v>
      </c>
      <c r="M390" s="414"/>
      <c r="N390" s="414"/>
      <c r="O390" s="414"/>
    </row>
    <row r="391" spans="1:15" s="331" customFormat="1">
      <c r="A391" s="474">
        <v>45913</v>
      </c>
      <c r="B391" s="475" t="s">
        <v>4067</v>
      </c>
      <c r="C391" s="475" t="s">
        <v>173</v>
      </c>
      <c r="D391" s="475" t="s">
        <v>120</v>
      </c>
      <c r="E391" s="475">
        <v>1000</v>
      </c>
      <c r="F391" s="463">
        <f t="shared" si="7"/>
        <v>1.8744037053212446</v>
      </c>
      <c r="G391" s="464">
        <v>533.50300000000004</v>
      </c>
      <c r="H391" s="475" t="s">
        <v>183</v>
      </c>
      <c r="I391" s="475" t="s">
        <v>3086</v>
      </c>
      <c r="J391" s="247" t="s">
        <v>97</v>
      </c>
      <c r="K391" s="247" t="s">
        <v>1133</v>
      </c>
      <c r="L391" s="247" t="s">
        <v>154</v>
      </c>
      <c r="M391" s="414"/>
      <c r="N391" s="414"/>
      <c r="O391" s="414"/>
    </row>
    <row r="392" spans="1:15" s="331" customFormat="1">
      <c r="A392" s="474">
        <v>45913</v>
      </c>
      <c r="B392" s="475" t="s">
        <v>3046</v>
      </c>
      <c r="C392" s="475" t="s">
        <v>173</v>
      </c>
      <c r="D392" s="475" t="s">
        <v>120</v>
      </c>
      <c r="E392" s="475">
        <v>1000</v>
      </c>
      <c r="F392" s="463">
        <f t="shared" si="7"/>
        <v>1.8744037053212446</v>
      </c>
      <c r="G392" s="464">
        <v>533.50300000000004</v>
      </c>
      <c r="H392" s="475" t="s">
        <v>183</v>
      </c>
      <c r="I392" s="475" t="s">
        <v>3086</v>
      </c>
      <c r="J392" s="247" t="s">
        <v>97</v>
      </c>
      <c r="K392" s="247" t="s">
        <v>1133</v>
      </c>
      <c r="L392" s="247" t="s">
        <v>154</v>
      </c>
      <c r="M392" s="414"/>
      <c r="N392" s="414"/>
      <c r="O392" s="414"/>
    </row>
    <row r="393" spans="1:15" s="331" customFormat="1">
      <c r="A393" s="476">
        <v>45913</v>
      </c>
      <c r="B393" s="469" t="s">
        <v>3138</v>
      </c>
      <c r="C393" s="469" t="s">
        <v>173</v>
      </c>
      <c r="D393" s="469" t="s">
        <v>120</v>
      </c>
      <c r="E393" s="469">
        <v>1000</v>
      </c>
      <c r="F393" s="463">
        <f t="shared" si="7"/>
        <v>1.8744037053212446</v>
      </c>
      <c r="G393" s="464">
        <v>533.50300000000004</v>
      </c>
      <c r="H393" s="469" t="s">
        <v>174</v>
      </c>
      <c r="I393" s="469" t="s">
        <v>3196</v>
      </c>
      <c r="J393" s="247" t="s">
        <v>97</v>
      </c>
      <c r="K393" s="247" t="s">
        <v>1133</v>
      </c>
      <c r="L393" s="247" t="s">
        <v>154</v>
      </c>
      <c r="M393" s="414"/>
      <c r="N393" s="414"/>
      <c r="O393" s="414"/>
    </row>
    <row r="394" spans="1:15" s="331" customFormat="1">
      <c r="A394" s="476">
        <v>45913</v>
      </c>
      <c r="B394" s="469" t="s">
        <v>3139</v>
      </c>
      <c r="C394" s="469" t="s">
        <v>173</v>
      </c>
      <c r="D394" s="469" t="s">
        <v>120</v>
      </c>
      <c r="E394" s="469">
        <v>1000</v>
      </c>
      <c r="F394" s="463">
        <f t="shared" si="7"/>
        <v>1.8744037053212446</v>
      </c>
      <c r="G394" s="464">
        <v>533.50300000000004</v>
      </c>
      <c r="H394" s="469" t="s">
        <v>174</v>
      </c>
      <c r="I394" s="469" t="s">
        <v>3196</v>
      </c>
      <c r="J394" s="247" t="s">
        <v>97</v>
      </c>
      <c r="K394" s="247" t="s">
        <v>1133</v>
      </c>
      <c r="L394" s="247" t="s">
        <v>154</v>
      </c>
      <c r="M394" s="414"/>
      <c r="N394" s="414"/>
      <c r="O394" s="414"/>
    </row>
    <row r="395" spans="1:15" s="331" customFormat="1">
      <c r="A395" s="461">
        <v>45913</v>
      </c>
      <c r="B395" s="247" t="s">
        <v>3396</v>
      </c>
      <c r="C395" s="247" t="s">
        <v>176</v>
      </c>
      <c r="D395" s="247" t="s">
        <v>116</v>
      </c>
      <c r="E395" s="478">
        <v>15000</v>
      </c>
      <c r="F395" s="463">
        <f t="shared" si="7"/>
        <v>28.116055579818667</v>
      </c>
      <c r="G395" s="464">
        <v>533.50300000000004</v>
      </c>
      <c r="H395" s="360" t="s">
        <v>437</v>
      </c>
      <c r="I395" s="469" t="s">
        <v>3420</v>
      </c>
      <c r="J395" s="247" t="s">
        <v>97</v>
      </c>
      <c r="K395" s="247" t="s">
        <v>1133</v>
      </c>
      <c r="L395" s="247" t="s">
        <v>154</v>
      </c>
      <c r="M395" s="414"/>
      <c r="N395" s="76"/>
      <c r="O395" s="76"/>
    </row>
    <row r="396" spans="1:15" s="331" customFormat="1">
      <c r="A396" s="461">
        <v>45913</v>
      </c>
      <c r="B396" s="469" t="s">
        <v>3397</v>
      </c>
      <c r="C396" s="359" t="s">
        <v>195</v>
      </c>
      <c r="D396" s="359" t="s">
        <v>116</v>
      </c>
      <c r="E396" s="472">
        <v>500</v>
      </c>
      <c r="F396" s="463">
        <f t="shared" si="7"/>
        <v>0.93720185266062228</v>
      </c>
      <c r="G396" s="464">
        <v>533.50300000000004</v>
      </c>
      <c r="H396" s="360" t="s">
        <v>437</v>
      </c>
      <c r="I396" s="469" t="s">
        <v>3411</v>
      </c>
      <c r="J396" s="247" t="s">
        <v>97</v>
      </c>
      <c r="K396" s="247" t="s">
        <v>1133</v>
      </c>
      <c r="L396" s="247" t="s">
        <v>154</v>
      </c>
      <c r="M396" s="414"/>
      <c r="N396" s="76"/>
      <c r="O396" s="76"/>
    </row>
    <row r="397" spans="1:15" s="331" customFormat="1">
      <c r="A397" s="461">
        <v>45913</v>
      </c>
      <c r="B397" s="469" t="s">
        <v>3398</v>
      </c>
      <c r="C397" s="359" t="s">
        <v>195</v>
      </c>
      <c r="D397" s="359" t="s">
        <v>116</v>
      </c>
      <c r="E397" s="472">
        <v>500</v>
      </c>
      <c r="F397" s="463">
        <f t="shared" si="7"/>
        <v>0.93720185266062228</v>
      </c>
      <c r="G397" s="464">
        <v>533.50300000000004</v>
      </c>
      <c r="H397" s="360" t="s">
        <v>437</v>
      </c>
      <c r="I397" s="469" t="s">
        <v>3411</v>
      </c>
      <c r="J397" s="247" t="s">
        <v>97</v>
      </c>
      <c r="K397" s="247" t="s">
        <v>1133</v>
      </c>
      <c r="L397" s="247" t="s">
        <v>154</v>
      </c>
      <c r="M397" s="414"/>
      <c r="N397" s="76"/>
      <c r="O397" s="76"/>
    </row>
    <row r="398" spans="1:15" s="331" customFormat="1">
      <c r="A398" s="474">
        <v>45914</v>
      </c>
      <c r="B398" s="216" t="s">
        <v>3614</v>
      </c>
      <c r="C398" s="216" t="s">
        <v>2391</v>
      </c>
      <c r="D398" s="337" t="s">
        <v>116</v>
      </c>
      <c r="E398" s="475">
        <v>15000</v>
      </c>
      <c r="F398" s="463">
        <f t="shared" si="7"/>
        <v>28.116055579818667</v>
      </c>
      <c r="G398" s="464">
        <v>533.50300000000004</v>
      </c>
      <c r="H398" s="339" t="s">
        <v>1508</v>
      </c>
      <c r="I398" s="216" t="s">
        <v>2921</v>
      </c>
      <c r="J398" s="247" t="s">
        <v>97</v>
      </c>
      <c r="K398" s="247" t="s">
        <v>1133</v>
      </c>
      <c r="L398" s="247" t="s">
        <v>154</v>
      </c>
      <c r="M398" s="335"/>
      <c r="N398" s="335"/>
      <c r="O398" s="335"/>
    </row>
    <row r="399" spans="1:15" s="331" customFormat="1">
      <c r="A399" s="474">
        <v>45914</v>
      </c>
      <c r="B399" s="216" t="s">
        <v>2891</v>
      </c>
      <c r="C399" s="216" t="s">
        <v>173</v>
      </c>
      <c r="D399" s="337" t="s">
        <v>116</v>
      </c>
      <c r="E399" s="475">
        <v>3500</v>
      </c>
      <c r="F399" s="463">
        <f t="shared" si="7"/>
        <v>6.5604129686243562</v>
      </c>
      <c r="G399" s="464">
        <v>533.50300000000004</v>
      </c>
      <c r="H399" s="339" t="s">
        <v>1508</v>
      </c>
      <c r="I399" s="216" t="s">
        <v>2911</v>
      </c>
      <c r="J399" s="247" t="s">
        <v>97</v>
      </c>
      <c r="K399" s="247" t="s">
        <v>1133</v>
      </c>
      <c r="L399" s="247" t="s">
        <v>154</v>
      </c>
      <c r="M399" s="335"/>
      <c r="N399" s="335"/>
      <c r="O399" s="335"/>
    </row>
    <row r="400" spans="1:15" s="331" customFormat="1">
      <c r="A400" s="474">
        <v>45914</v>
      </c>
      <c r="B400" s="475" t="s">
        <v>4068</v>
      </c>
      <c r="C400" s="475" t="s">
        <v>173</v>
      </c>
      <c r="D400" s="475" t="s">
        <v>120</v>
      </c>
      <c r="E400" s="475">
        <v>1000</v>
      </c>
      <c r="F400" s="463">
        <f t="shared" si="7"/>
        <v>1.8744037053212446</v>
      </c>
      <c r="G400" s="464">
        <v>533.50300000000004</v>
      </c>
      <c r="H400" s="475" t="s">
        <v>183</v>
      </c>
      <c r="I400" s="475" t="s">
        <v>3086</v>
      </c>
      <c r="J400" s="247" t="s">
        <v>97</v>
      </c>
      <c r="K400" s="247" t="s">
        <v>1133</v>
      </c>
      <c r="L400" s="247" t="s">
        <v>154</v>
      </c>
      <c r="M400" s="414"/>
      <c r="N400" s="414"/>
      <c r="O400" s="414"/>
    </row>
    <row r="401" spans="1:51" s="331" customFormat="1">
      <c r="A401" s="474">
        <v>45914</v>
      </c>
      <c r="B401" s="475" t="s">
        <v>3046</v>
      </c>
      <c r="C401" s="475" t="s">
        <v>173</v>
      </c>
      <c r="D401" s="475" t="s">
        <v>120</v>
      </c>
      <c r="E401" s="475">
        <v>1000</v>
      </c>
      <c r="F401" s="463">
        <f t="shared" si="7"/>
        <v>1.8744037053212446</v>
      </c>
      <c r="G401" s="464">
        <v>533.50300000000004</v>
      </c>
      <c r="H401" s="475" t="s">
        <v>183</v>
      </c>
      <c r="I401" s="475" t="s">
        <v>3086</v>
      </c>
      <c r="J401" s="247" t="s">
        <v>97</v>
      </c>
      <c r="K401" s="247" t="s">
        <v>1133</v>
      </c>
      <c r="L401" s="247" t="s">
        <v>154</v>
      </c>
      <c r="M401" s="414"/>
      <c r="N401" s="414"/>
      <c r="O401" s="414"/>
    </row>
    <row r="402" spans="1:51" s="331" customFormat="1">
      <c r="A402" s="474">
        <v>45914</v>
      </c>
      <c r="B402" s="475" t="s">
        <v>4068</v>
      </c>
      <c r="C402" s="475" t="s">
        <v>173</v>
      </c>
      <c r="D402" s="475" t="s">
        <v>120</v>
      </c>
      <c r="E402" s="475">
        <v>1000</v>
      </c>
      <c r="F402" s="463">
        <f t="shared" si="7"/>
        <v>1.8744037053212446</v>
      </c>
      <c r="G402" s="464">
        <v>533.50300000000004</v>
      </c>
      <c r="H402" s="475" t="s">
        <v>183</v>
      </c>
      <c r="I402" s="475" t="s">
        <v>3086</v>
      </c>
      <c r="J402" s="247" t="s">
        <v>97</v>
      </c>
      <c r="K402" s="247" t="s">
        <v>1133</v>
      </c>
      <c r="L402" s="247" t="s">
        <v>154</v>
      </c>
      <c r="M402" s="414"/>
      <c r="N402" s="414"/>
      <c r="O402" s="414"/>
    </row>
    <row r="403" spans="1:51" s="331" customFormat="1">
      <c r="A403" s="474">
        <v>45914</v>
      </c>
      <c r="B403" s="475" t="s">
        <v>3046</v>
      </c>
      <c r="C403" s="475" t="s">
        <v>173</v>
      </c>
      <c r="D403" s="475" t="s">
        <v>120</v>
      </c>
      <c r="E403" s="475">
        <v>1000</v>
      </c>
      <c r="F403" s="463">
        <f t="shared" si="7"/>
        <v>1.8744037053212446</v>
      </c>
      <c r="G403" s="464">
        <v>533.50300000000004</v>
      </c>
      <c r="H403" s="475" t="s">
        <v>183</v>
      </c>
      <c r="I403" s="475" t="s">
        <v>3086</v>
      </c>
      <c r="J403" s="247" t="s">
        <v>97</v>
      </c>
      <c r="K403" s="247" t="s">
        <v>1133</v>
      </c>
      <c r="L403" s="247" t="s">
        <v>154</v>
      </c>
      <c r="M403" s="414"/>
      <c r="N403" s="414"/>
      <c r="O403" s="414"/>
    </row>
    <row r="404" spans="1:51" s="331" customFormat="1">
      <c r="A404" s="476">
        <v>45914</v>
      </c>
      <c r="B404" s="469" t="s">
        <v>3140</v>
      </c>
      <c r="C404" s="469" t="s">
        <v>173</v>
      </c>
      <c r="D404" s="469" t="s">
        <v>120</v>
      </c>
      <c r="E404" s="469">
        <v>1000</v>
      </c>
      <c r="F404" s="463">
        <f t="shared" si="7"/>
        <v>1.8744037053212446</v>
      </c>
      <c r="G404" s="464">
        <v>533.50300000000004</v>
      </c>
      <c r="H404" s="469" t="s">
        <v>174</v>
      </c>
      <c r="I404" s="469" t="s">
        <v>3196</v>
      </c>
      <c r="J404" s="247" t="s">
        <v>97</v>
      </c>
      <c r="K404" s="247" t="s">
        <v>1133</v>
      </c>
      <c r="L404" s="247" t="s">
        <v>154</v>
      </c>
      <c r="M404" s="414"/>
      <c r="N404" s="414"/>
      <c r="O404" s="414"/>
    </row>
    <row r="405" spans="1:51" s="331" customFormat="1">
      <c r="A405" s="476">
        <v>45914</v>
      </c>
      <c r="B405" s="469" t="s">
        <v>3141</v>
      </c>
      <c r="C405" s="469" t="s">
        <v>173</v>
      </c>
      <c r="D405" s="469" t="s">
        <v>120</v>
      </c>
      <c r="E405" s="469">
        <v>1000</v>
      </c>
      <c r="F405" s="463">
        <f t="shared" si="7"/>
        <v>1.8744037053212446</v>
      </c>
      <c r="G405" s="464">
        <v>533.50300000000004</v>
      </c>
      <c r="H405" s="469" t="s">
        <v>174</v>
      </c>
      <c r="I405" s="469" t="s">
        <v>3196</v>
      </c>
      <c r="J405" s="247" t="s">
        <v>97</v>
      </c>
      <c r="K405" s="247" t="s">
        <v>1133</v>
      </c>
      <c r="L405" s="247" t="s">
        <v>154</v>
      </c>
      <c r="M405" s="414"/>
      <c r="N405" s="414"/>
      <c r="O405" s="414"/>
    </row>
    <row r="406" spans="1:51" s="331" customFormat="1">
      <c r="A406" s="476">
        <v>45914</v>
      </c>
      <c r="B406" s="469" t="s">
        <v>3142</v>
      </c>
      <c r="C406" s="469" t="s">
        <v>173</v>
      </c>
      <c r="D406" s="469" t="s">
        <v>120</v>
      </c>
      <c r="E406" s="469">
        <v>1000</v>
      </c>
      <c r="F406" s="463">
        <f t="shared" si="7"/>
        <v>1.8744037053212446</v>
      </c>
      <c r="G406" s="464">
        <v>533.50300000000004</v>
      </c>
      <c r="H406" s="469" t="s">
        <v>174</v>
      </c>
      <c r="I406" s="469" t="s">
        <v>3196</v>
      </c>
      <c r="J406" s="247" t="s">
        <v>97</v>
      </c>
      <c r="K406" s="247" t="s">
        <v>1133</v>
      </c>
      <c r="L406" s="247" t="s">
        <v>154</v>
      </c>
      <c r="M406" s="414"/>
      <c r="N406" s="414"/>
      <c r="O406" s="414"/>
    </row>
    <row r="407" spans="1:51" s="331" customFormat="1">
      <c r="A407" s="476">
        <v>45914</v>
      </c>
      <c r="B407" s="469" t="s">
        <v>3143</v>
      </c>
      <c r="C407" s="469" t="s">
        <v>173</v>
      </c>
      <c r="D407" s="469" t="s">
        <v>120</v>
      </c>
      <c r="E407" s="469">
        <v>1000</v>
      </c>
      <c r="F407" s="463">
        <f t="shared" si="7"/>
        <v>1.8744037053212446</v>
      </c>
      <c r="G407" s="464">
        <v>533.50300000000004</v>
      </c>
      <c r="H407" s="469" t="s">
        <v>174</v>
      </c>
      <c r="I407" s="469" t="s">
        <v>3196</v>
      </c>
      <c r="J407" s="247" t="s">
        <v>97</v>
      </c>
      <c r="K407" s="247" t="s">
        <v>1133</v>
      </c>
      <c r="L407" s="247" t="s">
        <v>154</v>
      </c>
      <c r="M407" s="414"/>
      <c r="N407" s="414"/>
      <c r="O407" s="414"/>
    </row>
    <row r="408" spans="1:51" s="424" customFormat="1">
      <c r="A408" s="476">
        <v>45914</v>
      </c>
      <c r="B408" s="469" t="s">
        <v>3144</v>
      </c>
      <c r="C408" s="469" t="s">
        <v>173</v>
      </c>
      <c r="D408" s="469" t="s">
        <v>120</v>
      </c>
      <c r="E408" s="469">
        <v>1000</v>
      </c>
      <c r="F408" s="463">
        <f t="shared" si="7"/>
        <v>1.8744037053212446</v>
      </c>
      <c r="G408" s="464">
        <v>533.50300000000004</v>
      </c>
      <c r="H408" s="469" t="s">
        <v>174</v>
      </c>
      <c r="I408" s="469" t="s">
        <v>3196</v>
      </c>
      <c r="J408" s="247" t="s">
        <v>97</v>
      </c>
      <c r="K408" s="247" t="s">
        <v>1133</v>
      </c>
      <c r="L408" s="247" t="s">
        <v>154</v>
      </c>
      <c r="M408" s="414"/>
      <c r="N408" s="414"/>
      <c r="O408" s="414"/>
    </row>
    <row r="409" spans="1:51" s="331" customFormat="1">
      <c r="A409" s="476">
        <v>45914</v>
      </c>
      <c r="B409" s="469" t="s">
        <v>3145</v>
      </c>
      <c r="C409" s="469" t="s">
        <v>173</v>
      </c>
      <c r="D409" s="469" t="s">
        <v>120</v>
      </c>
      <c r="E409" s="469">
        <v>1000</v>
      </c>
      <c r="F409" s="463">
        <f t="shared" si="7"/>
        <v>1.8744037053212446</v>
      </c>
      <c r="G409" s="464">
        <v>533.50300000000004</v>
      </c>
      <c r="H409" s="469" t="s">
        <v>174</v>
      </c>
      <c r="I409" s="469" t="s">
        <v>3196</v>
      </c>
      <c r="J409" s="247" t="s">
        <v>97</v>
      </c>
      <c r="K409" s="247" t="s">
        <v>1133</v>
      </c>
      <c r="L409" s="247" t="s">
        <v>154</v>
      </c>
      <c r="M409" s="414"/>
      <c r="N409" s="414"/>
      <c r="O409" s="414"/>
    </row>
    <row r="410" spans="1:51" s="331" customFormat="1">
      <c r="A410" s="476">
        <v>45914</v>
      </c>
      <c r="B410" s="469" t="s">
        <v>3146</v>
      </c>
      <c r="C410" s="469" t="s">
        <v>173</v>
      </c>
      <c r="D410" s="469" t="s">
        <v>120</v>
      </c>
      <c r="E410" s="469">
        <v>1000</v>
      </c>
      <c r="F410" s="463">
        <f t="shared" si="7"/>
        <v>1.8744037053212446</v>
      </c>
      <c r="G410" s="464">
        <v>533.50300000000004</v>
      </c>
      <c r="H410" s="469" t="s">
        <v>174</v>
      </c>
      <c r="I410" s="469" t="s">
        <v>3196</v>
      </c>
      <c r="J410" s="247" t="s">
        <v>97</v>
      </c>
      <c r="K410" s="247" t="s">
        <v>1133</v>
      </c>
      <c r="L410" s="247" t="s">
        <v>154</v>
      </c>
      <c r="M410" s="414"/>
      <c r="N410" s="414"/>
      <c r="O410" s="414"/>
    </row>
    <row r="411" spans="1:51" s="331" customFormat="1">
      <c r="A411" s="461">
        <v>45914</v>
      </c>
      <c r="B411" s="247" t="s">
        <v>3399</v>
      </c>
      <c r="C411" s="247" t="s">
        <v>176</v>
      </c>
      <c r="D411" s="247" t="s">
        <v>116</v>
      </c>
      <c r="E411" s="478">
        <v>15000</v>
      </c>
      <c r="F411" s="463">
        <f t="shared" si="7"/>
        <v>28.116055579818667</v>
      </c>
      <c r="G411" s="464">
        <v>533.50300000000004</v>
      </c>
      <c r="H411" s="360" t="s">
        <v>437</v>
      </c>
      <c r="I411" s="469" t="s">
        <v>3421</v>
      </c>
      <c r="J411" s="247" t="s">
        <v>97</v>
      </c>
      <c r="K411" s="247" t="s">
        <v>1133</v>
      </c>
      <c r="L411" s="247" t="s">
        <v>154</v>
      </c>
      <c r="M411" s="414"/>
      <c r="N411" s="76"/>
      <c r="O411" s="76"/>
    </row>
    <row r="412" spans="1:51" s="331" customFormat="1">
      <c r="A412" s="461">
        <v>45914</v>
      </c>
      <c r="B412" s="469" t="s">
        <v>3400</v>
      </c>
      <c r="C412" s="359" t="s">
        <v>195</v>
      </c>
      <c r="D412" s="359" t="s">
        <v>116</v>
      </c>
      <c r="E412" s="472">
        <v>500</v>
      </c>
      <c r="F412" s="463">
        <f t="shared" si="7"/>
        <v>0.93720185266062228</v>
      </c>
      <c r="G412" s="464">
        <v>533.50300000000004</v>
      </c>
      <c r="H412" s="360" t="s">
        <v>437</v>
      </c>
      <c r="I412" s="469" t="s">
        <v>3411</v>
      </c>
      <c r="J412" s="247" t="s">
        <v>97</v>
      </c>
      <c r="K412" s="247" t="s">
        <v>1133</v>
      </c>
      <c r="L412" s="247" t="s">
        <v>154</v>
      </c>
      <c r="M412" s="414"/>
      <c r="N412" s="76"/>
      <c r="O412" s="76"/>
    </row>
    <row r="413" spans="1:51" s="331" customFormat="1">
      <c r="A413" s="461">
        <v>45914</v>
      </c>
      <c r="B413" s="247" t="s">
        <v>3401</v>
      </c>
      <c r="C413" s="243" t="s">
        <v>195</v>
      </c>
      <c r="D413" s="243" t="s">
        <v>116</v>
      </c>
      <c r="E413" s="478">
        <v>2500</v>
      </c>
      <c r="F413" s="463">
        <f t="shared" si="7"/>
        <v>4.6860092633031112</v>
      </c>
      <c r="G413" s="464">
        <v>533.50300000000004</v>
      </c>
      <c r="H413" s="360" t="s">
        <v>437</v>
      </c>
      <c r="I413" s="469" t="s">
        <v>3411</v>
      </c>
      <c r="J413" s="247" t="s">
        <v>97</v>
      </c>
      <c r="K413" s="247" t="s">
        <v>1133</v>
      </c>
      <c r="L413" s="247" t="s">
        <v>154</v>
      </c>
      <c r="M413" s="414"/>
      <c r="N413" s="76"/>
      <c r="O413" s="76"/>
    </row>
    <row r="414" spans="1:51" s="331" customFormat="1">
      <c r="A414" s="476">
        <v>45915</v>
      </c>
      <c r="B414" s="469" t="s">
        <v>2100</v>
      </c>
      <c r="C414" s="462" t="s">
        <v>173</v>
      </c>
      <c r="D414" s="462" t="s">
        <v>118</v>
      </c>
      <c r="E414" s="359">
        <v>1000</v>
      </c>
      <c r="F414" s="463">
        <f t="shared" ref="F414:F477" si="8">E414/G414</f>
        <v>1.8744037053212446</v>
      </c>
      <c r="G414" s="464">
        <v>533.50300000000004</v>
      </c>
      <c r="H414" s="465" t="s">
        <v>152</v>
      </c>
      <c r="I414" s="469" t="s">
        <v>2868</v>
      </c>
      <c r="J414" s="247" t="s">
        <v>97</v>
      </c>
      <c r="K414" s="247" t="s">
        <v>1133</v>
      </c>
      <c r="L414" s="247" t="s">
        <v>154</v>
      </c>
      <c r="M414" s="335"/>
      <c r="N414" s="335"/>
      <c r="O414" s="335"/>
    </row>
    <row r="415" spans="1:51" s="331" customFormat="1">
      <c r="A415" s="476">
        <v>45915</v>
      </c>
      <c r="B415" s="469" t="s">
        <v>2101</v>
      </c>
      <c r="C415" s="462" t="s">
        <v>173</v>
      </c>
      <c r="D415" s="462" t="s">
        <v>118</v>
      </c>
      <c r="E415" s="359">
        <v>1000</v>
      </c>
      <c r="F415" s="463">
        <f t="shared" si="8"/>
        <v>1.8744037053212446</v>
      </c>
      <c r="G415" s="464">
        <v>533.50300000000004</v>
      </c>
      <c r="H415" s="465" t="s">
        <v>152</v>
      </c>
      <c r="I415" s="469" t="s">
        <v>2868</v>
      </c>
      <c r="J415" s="247" t="s">
        <v>97</v>
      </c>
      <c r="K415" s="247" t="s">
        <v>1133</v>
      </c>
      <c r="L415" s="247" t="s">
        <v>154</v>
      </c>
      <c r="M415" s="335"/>
      <c r="N415" s="335"/>
      <c r="O415" s="335"/>
      <c r="P415" s="424"/>
      <c r="Q415" s="424"/>
      <c r="R415" s="424"/>
      <c r="S415" s="424"/>
      <c r="T415" s="424"/>
      <c r="U415" s="424"/>
      <c r="V415" s="424"/>
      <c r="W415" s="424"/>
      <c r="X415" s="424"/>
      <c r="Y415" s="424"/>
      <c r="Z415" s="424"/>
      <c r="AA415" s="424"/>
      <c r="AB415" s="424"/>
      <c r="AC415" s="424"/>
      <c r="AD415" s="424"/>
      <c r="AE415" s="424"/>
      <c r="AF415" s="424">
        <f ca="1">AF415</f>
        <v>0</v>
      </c>
      <c r="AG415" s="424"/>
      <c r="AH415" s="424"/>
      <c r="AI415" s="424"/>
      <c r="AJ415" s="424"/>
      <c r="AK415" s="424"/>
      <c r="AL415" s="424"/>
      <c r="AM415" s="424"/>
      <c r="AN415" s="424"/>
      <c r="AO415" s="424"/>
      <c r="AP415" s="424"/>
      <c r="AQ415" s="424"/>
      <c r="AR415" s="424"/>
      <c r="AS415" s="424"/>
      <c r="AT415" s="424"/>
      <c r="AU415" s="424"/>
      <c r="AV415" s="424"/>
      <c r="AW415" s="424"/>
      <c r="AX415" s="424"/>
      <c r="AY415" s="424"/>
    </row>
    <row r="416" spans="1:51" s="331" customFormat="1">
      <c r="A416" s="474">
        <v>45915</v>
      </c>
      <c r="B416" s="475" t="s">
        <v>3047</v>
      </c>
      <c r="C416" s="475" t="s">
        <v>173</v>
      </c>
      <c r="D416" s="475" t="s">
        <v>120</v>
      </c>
      <c r="E416" s="475">
        <v>1000</v>
      </c>
      <c r="F416" s="463">
        <f t="shared" si="8"/>
        <v>1.8744037053212446</v>
      </c>
      <c r="G416" s="464">
        <v>533.50300000000004</v>
      </c>
      <c r="H416" s="475" t="s">
        <v>183</v>
      </c>
      <c r="I416" s="475" t="s">
        <v>3086</v>
      </c>
      <c r="J416" s="247" t="s">
        <v>97</v>
      </c>
      <c r="K416" s="247" t="s">
        <v>1133</v>
      </c>
      <c r="L416" s="247" t="s">
        <v>154</v>
      </c>
      <c r="M416" s="414"/>
      <c r="N416" s="414"/>
      <c r="O416" s="414"/>
      <c r="P416" s="424"/>
      <c r="Q416" s="424"/>
      <c r="R416" s="424"/>
      <c r="S416" s="424"/>
      <c r="T416" s="424"/>
      <c r="U416" s="424"/>
      <c r="V416" s="424"/>
      <c r="W416" s="424"/>
      <c r="X416" s="424"/>
      <c r="Y416" s="424"/>
      <c r="Z416" s="424"/>
      <c r="AA416" s="424"/>
      <c r="AB416" s="424"/>
      <c r="AC416" s="424"/>
      <c r="AD416" s="424"/>
      <c r="AE416" s="424"/>
      <c r="AF416" s="424"/>
      <c r="AG416" s="424"/>
      <c r="AH416" s="424"/>
      <c r="AI416" s="424"/>
      <c r="AJ416" s="424"/>
      <c r="AK416" s="424"/>
      <c r="AL416" s="424"/>
      <c r="AM416" s="424"/>
      <c r="AN416" s="424"/>
      <c r="AO416" s="424"/>
      <c r="AP416" s="424"/>
      <c r="AQ416" s="424"/>
      <c r="AR416" s="424"/>
      <c r="AS416" s="424"/>
      <c r="AT416" s="424"/>
      <c r="AU416" s="424"/>
      <c r="AV416" s="424"/>
      <c r="AW416" s="424"/>
      <c r="AX416" s="424"/>
      <c r="AY416" s="424"/>
    </row>
    <row r="417" spans="1:51" s="331" customFormat="1">
      <c r="A417" s="474">
        <v>45915</v>
      </c>
      <c r="B417" s="475" t="s">
        <v>3048</v>
      </c>
      <c r="C417" s="475" t="s">
        <v>173</v>
      </c>
      <c r="D417" s="475" t="s">
        <v>120</v>
      </c>
      <c r="E417" s="475">
        <v>1000</v>
      </c>
      <c r="F417" s="463">
        <f t="shared" si="8"/>
        <v>1.8744037053212446</v>
      </c>
      <c r="G417" s="464">
        <v>533.50300000000004</v>
      </c>
      <c r="H417" s="475" t="s">
        <v>183</v>
      </c>
      <c r="I417" s="475" t="s">
        <v>3086</v>
      </c>
      <c r="J417" s="247" t="s">
        <v>97</v>
      </c>
      <c r="K417" s="247" t="s">
        <v>1133</v>
      </c>
      <c r="L417" s="247" t="s">
        <v>154</v>
      </c>
      <c r="M417" s="414"/>
      <c r="N417" s="414"/>
      <c r="O417" s="414"/>
      <c r="P417" s="424"/>
      <c r="Q417" s="424"/>
      <c r="R417" s="424"/>
      <c r="S417" s="424"/>
      <c r="T417" s="424"/>
      <c r="U417" s="424"/>
      <c r="V417" s="424"/>
      <c r="W417" s="424"/>
      <c r="X417" s="424"/>
      <c r="Y417" s="424"/>
      <c r="Z417" s="424"/>
      <c r="AA417" s="424"/>
      <c r="AB417" s="424"/>
      <c r="AC417" s="424"/>
      <c r="AD417" s="424"/>
      <c r="AE417" s="424"/>
      <c r="AF417" s="424"/>
      <c r="AG417" s="424"/>
      <c r="AH417" s="424"/>
      <c r="AI417" s="424"/>
      <c r="AJ417" s="424"/>
      <c r="AK417" s="424"/>
      <c r="AL417" s="424"/>
      <c r="AM417" s="424"/>
      <c r="AN417" s="424"/>
      <c r="AO417" s="424"/>
      <c r="AP417" s="424"/>
      <c r="AQ417" s="424"/>
      <c r="AR417" s="424"/>
      <c r="AS417" s="424"/>
      <c r="AT417" s="424"/>
      <c r="AU417" s="424"/>
      <c r="AV417" s="424"/>
      <c r="AW417" s="424"/>
      <c r="AX417" s="424"/>
      <c r="AY417" s="424"/>
    </row>
    <row r="418" spans="1:51" s="331" customFormat="1">
      <c r="A418" s="474">
        <v>45915</v>
      </c>
      <c r="B418" s="475" t="s">
        <v>3049</v>
      </c>
      <c r="C418" s="475" t="s">
        <v>173</v>
      </c>
      <c r="D418" s="475" t="s">
        <v>120</v>
      </c>
      <c r="E418" s="475">
        <v>1000</v>
      </c>
      <c r="F418" s="463">
        <f t="shared" si="8"/>
        <v>1.8744037053212446</v>
      </c>
      <c r="G418" s="464">
        <v>533.50300000000004</v>
      </c>
      <c r="H418" s="475" t="s">
        <v>183</v>
      </c>
      <c r="I418" s="475" t="s">
        <v>3086</v>
      </c>
      <c r="J418" s="247" t="s">
        <v>97</v>
      </c>
      <c r="K418" s="247" t="s">
        <v>1133</v>
      </c>
      <c r="L418" s="247" t="s">
        <v>154</v>
      </c>
      <c r="M418" s="414"/>
      <c r="N418" s="414"/>
      <c r="O418" s="414"/>
      <c r="P418" s="424"/>
      <c r="Q418" s="424"/>
      <c r="R418" s="424"/>
      <c r="S418" s="424"/>
      <c r="T418" s="424"/>
      <c r="U418" s="424"/>
      <c r="V418" s="424"/>
      <c r="W418" s="424"/>
      <c r="X418" s="424"/>
      <c r="Y418" s="424"/>
      <c r="Z418" s="424"/>
      <c r="AA418" s="424"/>
      <c r="AB418" s="424"/>
      <c r="AC418" s="424"/>
      <c r="AD418" s="424"/>
      <c r="AE418" s="424"/>
      <c r="AF418" s="424"/>
      <c r="AG418" s="424"/>
      <c r="AH418" s="424"/>
      <c r="AI418" s="424"/>
      <c r="AJ418" s="424"/>
      <c r="AK418" s="424"/>
      <c r="AL418" s="424"/>
      <c r="AM418" s="424"/>
      <c r="AN418" s="424"/>
      <c r="AO418" s="424"/>
      <c r="AP418" s="424"/>
      <c r="AQ418" s="424"/>
      <c r="AR418" s="424"/>
      <c r="AS418" s="424"/>
      <c r="AT418" s="424"/>
      <c r="AU418" s="424"/>
      <c r="AV418" s="424"/>
      <c r="AW418" s="424"/>
      <c r="AX418" s="424"/>
      <c r="AY418" s="424"/>
    </row>
    <row r="419" spans="1:51" s="331" customFormat="1">
      <c r="A419" s="474">
        <v>45915</v>
      </c>
      <c r="B419" s="475" t="s">
        <v>3050</v>
      </c>
      <c r="C419" s="475" t="s">
        <v>173</v>
      </c>
      <c r="D419" s="475" t="s">
        <v>120</v>
      </c>
      <c r="E419" s="475">
        <v>1000</v>
      </c>
      <c r="F419" s="463">
        <f t="shared" si="8"/>
        <v>1.8744037053212446</v>
      </c>
      <c r="G419" s="464">
        <v>533.50300000000004</v>
      </c>
      <c r="H419" s="475" t="s">
        <v>183</v>
      </c>
      <c r="I419" s="475" t="s">
        <v>3086</v>
      </c>
      <c r="J419" s="247" t="s">
        <v>97</v>
      </c>
      <c r="K419" s="247" t="s">
        <v>1133</v>
      </c>
      <c r="L419" s="247" t="s">
        <v>154</v>
      </c>
      <c r="M419" s="414"/>
      <c r="N419" s="414"/>
      <c r="O419" s="414"/>
      <c r="P419" s="424"/>
      <c r="Q419" s="424"/>
      <c r="R419" s="424"/>
      <c r="S419" s="424"/>
      <c r="T419" s="424"/>
      <c r="U419" s="424"/>
      <c r="V419" s="424"/>
      <c r="W419" s="424"/>
      <c r="X419" s="424"/>
      <c r="Y419" s="424"/>
      <c r="Z419" s="424"/>
      <c r="AA419" s="424"/>
      <c r="AB419" s="424"/>
      <c r="AC419" s="424"/>
      <c r="AD419" s="424"/>
      <c r="AE419" s="424"/>
      <c r="AF419" s="424"/>
      <c r="AG419" s="424"/>
      <c r="AH419" s="424"/>
      <c r="AI419" s="424"/>
      <c r="AJ419" s="424"/>
      <c r="AK419" s="424"/>
      <c r="AL419" s="424"/>
      <c r="AM419" s="424"/>
      <c r="AN419" s="424"/>
      <c r="AO419" s="424"/>
      <c r="AP419" s="424"/>
      <c r="AQ419" s="424"/>
      <c r="AR419" s="424"/>
      <c r="AS419" s="424"/>
      <c r="AT419" s="424"/>
      <c r="AU419" s="424"/>
      <c r="AV419" s="424"/>
      <c r="AW419" s="424"/>
      <c r="AX419" s="424"/>
      <c r="AY419" s="424"/>
    </row>
    <row r="420" spans="1:51" s="331" customFormat="1">
      <c r="A420" s="474">
        <v>45915</v>
      </c>
      <c r="B420" s="475" t="s">
        <v>3051</v>
      </c>
      <c r="C420" s="475" t="s">
        <v>173</v>
      </c>
      <c r="D420" s="475" t="s">
        <v>120</v>
      </c>
      <c r="E420" s="475">
        <v>1000</v>
      </c>
      <c r="F420" s="463">
        <f t="shared" si="8"/>
        <v>1.8744037053212446</v>
      </c>
      <c r="G420" s="464">
        <v>533.50300000000004</v>
      </c>
      <c r="H420" s="475" t="s">
        <v>183</v>
      </c>
      <c r="I420" s="475" t="s">
        <v>3086</v>
      </c>
      <c r="J420" s="247" t="s">
        <v>97</v>
      </c>
      <c r="K420" s="247" t="s">
        <v>1133</v>
      </c>
      <c r="L420" s="247" t="s">
        <v>154</v>
      </c>
      <c r="M420" s="414"/>
      <c r="N420" s="414"/>
      <c r="O420" s="414"/>
      <c r="P420" s="424"/>
      <c r="Q420" s="424"/>
      <c r="R420" s="424"/>
      <c r="S420" s="424"/>
      <c r="T420" s="424"/>
      <c r="U420" s="424"/>
      <c r="V420" s="424"/>
      <c r="W420" s="424"/>
      <c r="X420" s="424"/>
      <c r="Y420" s="424"/>
      <c r="Z420" s="424"/>
      <c r="AA420" s="424"/>
      <c r="AB420" s="424"/>
      <c r="AC420" s="424"/>
      <c r="AD420" s="424"/>
      <c r="AE420" s="424"/>
      <c r="AF420" s="424"/>
      <c r="AG420" s="424"/>
      <c r="AH420" s="424"/>
      <c r="AI420" s="424"/>
      <c r="AJ420" s="424"/>
      <c r="AK420" s="424"/>
      <c r="AL420" s="424"/>
      <c r="AM420" s="424"/>
      <c r="AN420" s="424"/>
      <c r="AO420" s="424"/>
      <c r="AP420" s="424"/>
      <c r="AQ420" s="424"/>
      <c r="AR420" s="424"/>
      <c r="AS420" s="424"/>
      <c r="AT420" s="424"/>
      <c r="AU420" s="424"/>
      <c r="AV420" s="424"/>
      <c r="AW420" s="424"/>
      <c r="AX420" s="424"/>
      <c r="AY420" s="424"/>
    </row>
    <row r="421" spans="1:51" s="331" customFormat="1">
      <c r="A421" s="474">
        <v>45915</v>
      </c>
      <c r="B421" s="475" t="s">
        <v>3052</v>
      </c>
      <c r="C421" s="475" t="s">
        <v>173</v>
      </c>
      <c r="D421" s="475" t="s">
        <v>120</v>
      </c>
      <c r="E421" s="475">
        <v>1000</v>
      </c>
      <c r="F421" s="463">
        <f t="shared" si="8"/>
        <v>1.8744037053212446</v>
      </c>
      <c r="G421" s="464">
        <v>533.50300000000004</v>
      </c>
      <c r="H421" s="475" t="s">
        <v>183</v>
      </c>
      <c r="I421" s="475" t="s">
        <v>3086</v>
      </c>
      <c r="J421" s="247" t="s">
        <v>97</v>
      </c>
      <c r="K421" s="247" t="s">
        <v>1133</v>
      </c>
      <c r="L421" s="247" t="s">
        <v>154</v>
      </c>
      <c r="M421" s="414"/>
      <c r="N421" s="414"/>
      <c r="O421" s="414"/>
      <c r="P421" s="424"/>
      <c r="Q421" s="424"/>
      <c r="R421" s="424"/>
      <c r="S421" s="424"/>
      <c r="T421" s="424"/>
      <c r="U421" s="424"/>
      <c r="V421" s="424"/>
      <c r="W421" s="424"/>
      <c r="X421" s="424"/>
      <c r="Y421" s="424"/>
      <c r="Z421" s="424"/>
      <c r="AA421" s="424"/>
      <c r="AB421" s="424"/>
      <c r="AC421" s="424"/>
      <c r="AD421" s="424"/>
      <c r="AE421" s="424"/>
      <c r="AF421" s="424"/>
      <c r="AG421" s="424"/>
      <c r="AH421" s="424"/>
      <c r="AI421" s="424"/>
      <c r="AJ421" s="424"/>
      <c r="AK421" s="424"/>
      <c r="AL421" s="424"/>
      <c r="AM421" s="424"/>
      <c r="AN421" s="424"/>
      <c r="AO421" s="424"/>
      <c r="AP421" s="424"/>
      <c r="AQ421" s="424"/>
      <c r="AR421" s="424"/>
      <c r="AS421" s="424"/>
      <c r="AT421" s="424"/>
      <c r="AU421" s="424"/>
      <c r="AV421" s="424"/>
      <c r="AW421" s="424"/>
      <c r="AX421" s="424"/>
      <c r="AY421" s="424"/>
    </row>
    <row r="422" spans="1:51" s="331" customFormat="1">
      <c r="A422" s="476">
        <v>45915</v>
      </c>
      <c r="B422" s="469" t="s">
        <v>3147</v>
      </c>
      <c r="C422" s="469" t="s">
        <v>173</v>
      </c>
      <c r="D422" s="469" t="s">
        <v>120</v>
      </c>
      <c r="E422" s="469">
        <v>1000</v>
      </c>
      <c r="F422" s="463">
        <f t="shared" si="8"/>
        <v>1.8744037053212446</v>
      </c>
      <c r="G422" s="464">
        <v>533.50300000000004</v>
      </c>
      <c r="H422" s="469" t="s">
        <v>174</v>
      </c>
      <c r="I422" s="469" t="s">
        <v>3196</v>
      </c>
      <c r="J422" s="247" t="s">
        <v>97</v>
      </c>
      <c r="K422" s="247" t="s">
        <v>1133</v>
      </c>
      <c r="L422" s="247" t="s">
        <v>154</v>
      </c>
      <c r="M422" s="414"/>
      <c r="N422" s="414"/>
      <c r="O422" s="414"/>
      <c r="P422" s="424"/>
      <c r="Q422" s="424"/>
      <c r="R422" s="424"/>
      <c r="S422" s="424"/>
      <c r="T422" s="424"/>
      <c r="U422" s="424"/>
      <c r="V422" s="424"/>
      <c r="W422" s="424"/>
      <c r="X422" s="424"/>
      <c r="Y422" s="424"/>
      <c r="Z422" s="424"/>
      <c r="AA422" s="424"/>
      <c r="AB422" s="424"/>
      <c r="AC422" s="424"/>
      <c r="AD422" s="424"/>
      <c r="AE422" s="424"/>
      <c r="AF422" s="424"/>
      <c r="AG422" s="424"/>
      <c r="AH422" s="424"/>
      <c r="AI422" s="424"/>
      <c r="AJ422" s="424"/>
      <c r="AK422" s="424"/>
      <c r="AL422" s="424"/>
      <c r="AM422" s="424"/>
      <c r="AN422" s="424"/>
      <c r="AO422" s="424"/>
      <c r="AP422" s="424"/>
      <c r="AQ422" s="424"/>
      <c r="AR422" s="424"/>
      <c r="AS422" s="424"/>
      <c r="AT422" s="424"/>
      <c r="AU422" s="424"/>
      <c r="AV422" s="424"/>
      <c r="AW422" s="424"/>
      <c r="AX422" s="424"/>
      <c r="AY422" s="424"/>
    </row>
    <row r="423" spans="1:51" s="331" customFormat="1">
      <c r="A423" s="476">
        <v>45915</v>
      </c>
      <c r="B423" s="469" t="s">
        <v>3148</v>
      </c>
      <c r="C423" s="469" t="s">
        <v>173</v>
      </c>
      <c r="D423" s="469" t="s">
        <v>120</v>
      </c>
      <c r="E423" s="469">
        <v>1000</v>
      </c>
      <c r="F423" s="463">
        <f t="shared" si="8"/>
        <v>1.8744037053212446</v>
      </c>
      <c r="G423" s="464">
        <v>533.50300000000004</v>
      </c>
      <c r="H423" s="469" t="s">
        <v>174</v>
      </c>
      <c r="I423" s="469" t="s">
        <v>3196</v>
      </c>
      <c r="J423" s="247" t="s">
        <v>97</v>
      </c>
      <c r="K423" s="247" t="s">
        <v>1133</v>
      </c>
      <c r="L423" s="247" t="s">
        <v>154</v>
      </c>
      <c r="M423" s="414"/>
      <c r="N423" s="414"/>
      <c r="O423" s="414"/>
      <c r="P423" s="424"/>
      <c r="Q423" s="424"/>
      <c r="R423" s="424"/>
      <c r="S423" s="424"/>
      <c r="T423" s="424"/>
      <c r="U423" s="424"/>
      <c r="V423" s="424"/>
      <c r="W423" s="424"/>
      <c r="X423" s="424"/>
      <c r="Y423" s="424"/>
      <c r="Z423" s="424"/>
      <c r="AA423" s="424"/>
      <c r="AB423" s="424"/>
      <c r="AC423" s="424"/>
      <c r="AD423" s="424"/>
      <c r="AE423" s="424"/>
      <c r="AF423" s="424"/>
      <c r="AG423" s="424"/>
      <c r="AH423" s="424"/>
      <c r="AI423" s="424"/>
      <c r="AJ423" s="424"/>
      <c r="AK423" s="424"/>
      <c r="AL423" s="424"/>
      <c r="AM423" s="424"/>
      <c r="AN423" s="424"/>
      <c r="AO423" s="424"/>
      <c r="AP423" s="424"/>
      <c r="AQ423" s="424"/>
      <c r="AR423" s="424"/>
      <c r="AS423" s="424"/>
      <c r="AT423" s="424"/>
      <c r="AU423" s="424"/>
      <c r="AV423" s="424"/>
      <c r="AW423" s="424"/>
      <c r="AX423" s="424"/>
      <c r="AY423" s="424"/>
    </row>
    <row r="424" spans="1:51" s="331" customFormat="1">
      <c r="A424" s="476">
        <v>45915</v>
      </c>
      <c r="B424" s="469" t="s">
        <v>3149</v>
      </c>
      <c r="C424" s="469" t="s">
        <v>173</v>
      </c>
      <c r="D424" s="469" t="s">
        <v>120</v>
      </c>
      <c r="E424" s="469">
        <v>1000</v>
      </c>
      <c r="F424" s="463">
        <f t="shared" si="8"/>
        <v>1.8744037053212446</v>
      </c>
      <c r="G424" s="464">
        <v>533.50300000000004</v>
      </c>
      <c r="H424" s="469" t="s">
        <v>174</v>
      </c>
      <c r="I424" s="469" t="s">
        <v>3196</v>
      </c>
      <c r="J424" s="247" t="s">
        <v>97</v>
      </c>
      <c r="K424" s="247" t="s">
        <v>1133</v>
      </c>
      <c r="L424" s="247" t="s">
        <v>154</v>
      </c>
      <c r="M424" s="414"/>
      <c r="N424" s="414"/>
      <c r="O424" s="414"/>
      <c r="P424" s="424"/>
      <c r="Q424" s="424"/>
      <c r="R424" s="424"/>
      <c r="S424" s="424"/>
      <c r="T424" s="424"/>
      <c r="U424" s="424"/>
      <c r="V424" s="424"/>
      <c r="W424" s="424"/>
      <c r="X424" s="424"/>
      <c r="Y424" s="424"/>
      <c r="Z424" s="424"/>
      <c r="AA424" s="424"/>
      <c r="AB424" s="424"/>
      <c r="AC424" s="424"/>
      <c r="AD424" s="424"/>
      <c r="AE424" s="424"/>
      <c r="AF424" s="424"/>
      <c r="AG424" s="424"/>
      <c r="AH424" s="424"/>
      <c r="AI424" s="424"/>
      <c r="AJ424" s="424"/>
      <c r="AK424" s="424"/>
      <c r="AL424" s="424"/>
      <c r="AM424" s="424"/>
      <c r="AN424" s="424"/>
      <c r="AO424" s="424"/>
      <c r="AP424" s="424"/>
      <c r="AQ424" s="424"/>
      <c r="AR424" s="424"/>
      <c r="AS424" s="424"/>
      <c r="AT424" s="424"/>
      <c r="AU424" s="424"/>
      <c r="AV424" s="424"/>
      <c r="AW424" s="424"/>
      <c r="AX424" s="424"/>
      <c r="AY424" s="424"/>
    </row>
    <row r="425" spans="1:51" s="331" customFormat="1">
      <c r="A425" s="476">
        <v>45915</v>
      </c>
      <c r="B425" s="469" t="s">
        <v>3150</v>
      </c>
      <c r="C425" s="469" t="s">
        <v>173</v>
      </c>
      <c r="D425" s="469" t="s">
        <v>120</v>
      </c>
      <c r="E425" s="469">
        <v>1000</v>
      </c>
      <c r="F425" s="463">
        <f t="shared" si="8"/>
        <v>1.8744037053212446</v>
      </c>
      <c r="G425" s="464">
        <v>533.50300000000004</v>
      </c>
      <c r="H425" s="469" t="s">
        <v>174</v>
      </c>
      <c r="I425" s="469" t="s">
        <v>3196</v>
      </c>
      <c r="J425" s="247" t="s">
        <v>97</v>
      </c>
      <c r="K425" s="247" t="s">
        <v>1133</v>
      </c>
      <c r="L425" s="247" t="s">
        <v>154</v>
      </c>
      <c r="M425" s="414"/>
      <c r="N425" s="414"/>
      <c r="O425" s="414"/>
      <c r="P425" s="424"/>
      <c r="Q425" s="424"/>
      <c r="R425" s="424"/>
      <c r="S425" s="424"/>
      <c r="T425" s="424"/>
      <c r="U425" s="424"/>
      <c r="V425" s="424"/>
      <c r="W425" s="424"/>
      <c r="X425" s="424"/>
      <c r="Y425" s="424"/>
      <c r="Z425" s="424"/>
      <c r="AA425" s="424"/>
      <c r="AB425" s="424"/>
      <c r="AC425" s="424"/>
      <c r="AD425" s="424"/>
      <c r="AE425" s="424"/>
      <c r="AF425" s="424"/>
      <c r="AG425" s="424"/>
      <c r="AH425" s="424"/>
      <c r="AI425" s="424"/>
      <c r="AJ425" s="424"/>
      <c r="AK425" s="424"/>
      <c r="AL425" s="424"/>
      <c r="AM425" s="424"/>
      <c r="AN425" s="424"/>
      <c r="AO425" s="424"/>
      <c r="AP425" s="424"/>
      <c r="AQ425" s="424"/>
      <c r="AR425" s="424"/>
      <c r="AS425" s="424"/>
      <c r="AT425" s="424"/>
      <c r="AU425" s="424"/>
      <c r="AV425" s="424"/>
      <c r="AW425" s="424"/>
      <c r="AX425" s="424"/>
      <c r="AY425" s="424"/>
    </row>
    <row r="426" spans="1:51" s="331" customFormat="1">
      <c r="A426" s="476">
        <v>45915</v>
      </c>
      <c r="B426" s="469" t="s">
        <v>3151</v>
      </c>
      <c r="C426" s="469" t="s">
        <v>173</v>
      </c>
      <c r="D426" s="469" t="s">
        <v>120</v>
      </c>
      <c r="E426" s="469">
        <v>1000</v>
      </c>
      <c r="F426" s="463">
        <f t="shared" si="8"/>
        <v>1.8744037053212446</v>
      </c>
      <c r="G426" s="464">
        <v>533.50300000000004</v>
      </c>
      <c r="H426" s="469" t="s">
        <v>174</v>
      </c>
      <c r="I426" s="469" t="s">
        <v>3196</v>
      </c>
      <c r="J426" s="247" t="s">
        <v>97</v>
      </c>
      <c r="K426" s="247" t="s">
        <v>1133</v>
      </c>
      <c r="L426" s="247" t="s">
        <v>154</v>
      </c>
      <c r="M426" s="335"/>
      <c r="N426" s="335"/>
      <c r="O426" s="335"/>
      <c r="P426" s="424"/>
      <c r="Q426" s="424"/>
      <c r="R426" s="424"/>
      <c r="S426" s="424"/>
      <c r="T426" s="424"/>
      <c r="U426" s="424"/>
      <c r="V426" s="424"/>
      <c r="W426" s="424"/>
      <c r="X426" s="424"/>
      <c r="Y426" s="424"/>
      <c r="Z426" s="424"/>
      <c r="AA426" s="424"/>
      <c r="AB426" s="424"/>
      <c r="AC426" s="424"/>
      <c r="AD426" s="424"/>
      <c r="AE426" s="424"/>
      <c r="AF426" s="424"/>
      <c r="AG426" s="424"/>
      <c r="AH426" s="424"/>
      <c r="AI426" s="424"/>
      <c r="AJ426" s="424"/>
      <c r="AK426" s="424"/>
      <c r="AL426" s="424"/>
      <c r="AM426" s="424"/>
      <c r="AN426" s="424"/>
      <c r="AO426" s="424"/>
      <c r="AP426" s="424"/>
      <c r="AQ426" s="424"/>
      <c r="AR426" s="424"/>
      <c r="AS426" s="424"/>
      <c r="AT426" s="424"/>
      <c r="AU426" s="424"/>
      <c r="AV426" s="424"/>
      <c r="AW426" s="424"/>
      <c r="AX426" s="424"/>
      <c r="AY426" s="424"/>
    </row>
    <row r="427" spans="1:51" s="331" customFormat="1">
      <c r="A427" s="471">
        <v>45915</v>
      </c>
      <c r="B427" s="247" t="s">
        <v>3152</v>
      </c>
      <c r="C427" s="247" t="s">
        <v>173</v>
      </c>
      <c r="D427" s="247" t="s">
        <v>120</v>
      </c>
      <c r="E427" s="247">
        <v>1000</v>
      </c>
      <c r="F427" s="463">
        <f t="shared" si="8"/>
        <v>1.8744037053212446</v>
      </c>
      <c r="G427" s="464">
        <v>533.50300000000004</v>
      </c>
      <c r="H427" s="247" t="s">
        <v>174</v>
      </c>
      <c r="I427" s="469" t="s">
        <v>3196</v>
      </c>
      <c r="J427" s="247" t="s">
        <v>97</v>
      </c>
      <c r="K427" s="247" t="s">
        <v>1133</v>
      </c>
      <c r="L427" s="247" t="s">
        <v>154</v>
      </c>
      <c r="M427" s="335"/>
      <c r="N427" s="335"/>
      <c r="O427" s="335"/>
      <c r="P427" s="424"/>
      <c r="Q427" s="424"/>
      <c r="R427" s="424"/>
      <c r="S427" s="424"/>
      <c r="T427" s="424"/>
      <c r="U427" s="424"/>
      <c r="V427" s="424"/>
      <c r="W427" s="424"/>
      <c r="X427" s="424"/>
      <c r="Y427" s="424"/>
      <c r="Z427" s="424"/>
      <c r="AA427" s="424"/>
      <c r="AB427" s="424"/>
      <c r="AC427" s="424"/>
      <c r="AD427" s="424"/>
      <c r="AE427" s="424"/>
      <c r="AF427" s="424"/>
      <c r="AG427" s="424"/>
      <c r="AH427" s="424"/>
      <c r="AI427" s="424"/>
      <c r="AJ427" s="424"/>
      <c r="AK427" s="424"/>
      <c r="AL427" s="424"/>
      <c r="AM427" s="424"/>
      <c r="AN427" s="424"/>
      <c r="AO427" s="424"/>
      <c r="AP427" s="424"/>
      <c r="AQ427" s="424"/>
      <c r="AR427" s="424"/>
      <c r="AS427" s="424"/>
      <c r="AT427" s="424"/>
      <c r="AU427" s="424"/>
      <c r="AV427" s="424"/>
      <c r="AW427" s="424"/>
      <c r="AX427" s="424"/>
      <c r="AY427" s="424"/>
    </row>
    <row r="428" spans="1:51" s="331" customFormat="1">
      <c r="A428" s="476">
        <v>45915</v>
      </c>
      <c r="B428" s="469" t="s">
        <v>3306</v>
      </c>
      <c r="C428" s="469" t="s">
        <v>173</v>
      </c>
      <c r="D428" s="469" t="s">
        <v>116</v>
      </c>
      <c r="E428" s="470">
        <v>500</v>
      </c>
      <c r="F428" s="463">
        <f t="shared" si="8"/>
        <v>0.93720185266062228</v>
      </c>
      <c r="G428" s="464">
        <v>533.50300000000004</v>
      </c>
      <c r="H428" s="469" t="s">
        <v>189</v>
      </c>
      <c r="I428" s="469" t="s">
        <v>3324</v>
      </c>
      <c r="J428" s="247" t="s">
        <v>97</v>
      </c>
      <c r="K428" s="247" t="s">
        <v>1133</v>
      </c>
      <c r="L428" s="247" t="s">
        <v>154</v>
      </c>
      <c r="M428" s="335"/>
      <c r="N428" s="335"/>
      <c r="O428" s="335"/>
      <c r="P428" s="424"/>
      <c r="Q428" s="424"/>
      <c r="R428" s="424"/>
      <c r="S428" s="424"/>
      <c r="T428" s="424"/>
      <c r="U428" s="424"/>
      <c r="V428" s="424"/>
      <c r="W428" s="424"/>
      <c r="X428" s="424"/>
      <c r="Y428" s="424"/>
      <c r="Z428" s="424"/>
      <c r="AA428" s="424"/>
      <c r="AB428" s="424"/>
      <c r="AC428" s="424"/>
      <c r="AD428" s="424"/>
      <c r="AE428" s="424"/>
      <c r="AF428" s="424"/>
      <c r="AG428" s="424"/>
      <c r="AH428" s="424"/>
      <c r="AI428" s="424"/>
      <c r="AJ428" s="424"/>
      <c r="AK428" s="424"/>
      <c r="AL428" s="424"/>
      <c r="AM428" s="424"/>
      <c r="AN428" s="424"/>
      <c r="AO428" s="424"/>
      <c r="AP428" s="424"/>
      <c r="AQ428" s="424"/>
      <c r="AR428" s="424"/>
      <c r="AS428" s="424"/>
      <c r="AT428" s="424"/>
      <c r="AU428" s="424"/>
      <c r="AV428" s="424"/>
      <c r="AW428" s="424"/>
      <c r="AX428" s="424"/>
      <c r="AY428" s="424"/>
    </row>
    <row r="429" spans="1:51" s="331" customFormat="1">
      <c r="A429" s="476">
        <v>45915</v>
      </c>
      <c r="B429" s="469" t="s">
        <v>3308</v>
      </c>
      <c r="C429" s="469" t="s">
        <v>173</v>
      </c>
      <c r="D429" s="469" t="s">
        <v>116</v>
      </c>
      <c r="E429" s="470">
        <v>500</v>
      </c>
      <c r="F429" s="463">
        <f t="shared" si="8"/>
        <v>0.93720185266062228</v>
      </c>
      <c r="G429" s="464">
        <v>533.50300000000004</v>
      </c>
      <c r="H429" s="469" t="s">
        <v>189</v>
      </c>
      <c r="I429" s="469" t="s">
        <v>3324</v>
      </c>
      <c r="J429" s="247" t="s">
        <v>97</v>
      </c>
      <c r="K429" s="247" t="s">
        <v>1133</v>
      </c>
      <c r="L429" s="247" t="s">
        <v>154</v>
      </c>
      <c r="M429" s="335"/>
      <c r="N429" s="335"/>
      <c r="O429" s="335"/>
      <c r="P429" s="424"/>
      <c r="Q429" s="424"/>
      <c r="R429" s="424"/>
      <c r="S429" s="424"/>
      <c r="T429" s="424"/>
      <c r="U429" s="424"/>
      <c r="V429" s="424"/>
      <c r="W429" s="424"/>
      <c r="X429" s="424"/>
      <c r="Y429" s="424"/>
      <c r="Z429" s="424"/>
      <c r="AA429" s="424"/>
      <c r="AB429" s="424"/>
      <c r="AC429" s="424"/>
      <c r="AD429" s="424"/>
      <c r="AE429" s="424"/>
      <c r="AF429" s="424"/>
      <c r="AG429" s="424"/>
      <c r="AH429" s="424"/>
      <c r="AI429" s="424"/>
      <c r="AJ429" s="424"/>
      <c r="AK429" s="424"/>
      <c r="AL429" s="424"/>
      <c r="AM429" s="424"/>
      <c r="AN429" s="424"/>
      <c r="AO429" s="424"/>
      <c r="AP429" s="424"/>
      <c r="AQ429" s="424"/>
      <c r="AR429" s="424"/>
      <c r="AS429" s="424"/>
      <c r="AT429" s="424"/>
      <c r="AU429" s="424"/>
      <c r="AV429" s="424"/>
      <c r="AW429" s="424"/>
      <c r="AX429" s="424"/>
      <c r="AY429" s="424"/>
    </row>
    <row r="430" spans="1:51" s="331" customFormat="1">
      <c r="A430" s="471">
        <v>45915</v>
      </c>
      <c r="B430" s="247" t="s">
        <v>2358</v>
      </c>
      <c r="C430" s="469" t="s">
        <v>181</v>
      </c>
      <c r="D430" s="469" t="s">
        <v>117</v>
      </c>
      <c r="E430" s="468">
        <v>3600</v>
      </c>
      <c r="F430" s="463">
        <f t="shared" si="8"/>
        <v>6.7478533391564799</v>
      </c>
      <c r="G430" s="464">
        <v>533.50300000000004</v>
      </c>
      <c r="H430" s="469" t="s">
        <v>189</v>
      </c>
      <c r="I430" s="247" t="s">
        <v>3329</v>
      </c>
      <c r="J430" s="247" t="s">
        <v>97</v>
      </c>
      <c r="K430" s="247" t="s">
        <v>1133</v>
      </c>
      <c r="L430" s="247" t="s">
        <v>154</v>
      </c>
      <c r="M430" s="335"/>
      <c r="N430" s="335"/>
      <c r="O430" s="335"/>
      <c r="P430" s="424"/>
      <c r="Q430" s="424"/>
      <c r="R430" s="424"/>
      <c r="S430" s="424"/>
      <c r="T430" s="424"/>
      <c r="U430" s="424"/>
      <c r="V430" s="424"/>
      <c r="W430" s="424"/>
      <c r="X430" s="424"/>
      <c r="Y430" s="424"/>
      <c r="Z430" s="424"/>
      <c r="AA430" s="424"/>
      <c r="AB430" s="424"/>
      <c r="AC430" s="424"/>
      <c r="AD430" s="424"/>
      <c r="AE430" s="424"/>
      <c r="AF430" s="424"/>
      <c r="AG430" s="424"/>
      <c r="AH430" s="424"/>
      <c r="AI430" s="424"/>
      <c r="AJ430" s="424"/>
      <c r="AK430" s="424"/>
      <c r="AL430" s="424"/>
      <c r="AM430" s="424"/>
      <c r="AN430" s="424"/>
      <c r="AO430" s="424"/>
      <c r="AP430" s="424"/>
      <c r="AQ430" s="424"/>
      <c r="AR430" s="424"/>
      <c r="AS430" s="424"/>
      <c r="AT430" s="424"/>
      <c r="AU430" s="424"/>
      <c r="AV430" s="424"/>
      <c r="AW430" s="424"/>
      <c r="AX430" s="424"/>
      <c r="AY430" s="424"/>
    </row>
    <row r="431" spans="1:51" s="331" customFormat="1">
      <c r="A431" s="476">
        <v>45916</v>
      </c>
      <c r="B431" s="469" t="s">
        <v>2100</v>
      </c>
      <c r="C431" s="462" t="s">
        <v>173</v>
      </c>
      <c r="D431" s="462" t="s">
        <v>118</v>
      </c>
      <c r="E431" s="359">
        <v>1000</v>
      </c>
      <c r="F431" s="463">
        <f t="shared" si="8"/>
        <v>1.8744037053212446</v>
      </c>
      <c r="G431" s="464">
        <v>533.50300000000004</v>
      </c>
      <c r="H431" s="465" t="s">
        <v>152</v>
      </c>
      <c r="I431" s="469" t="s">
        <v>2868</v>
      </c>
      <c r="J431" s="247" t="s">
        <v>97</v>
      </c>
      <c r="K431" s="247" t="s">
        <v>1133</v>
      </c>
      <c r="L431" s="247" t="s">
        <v>154</v>
      </c>
      <c r="M431" s="335"/>
      <c r="N431" s="335"/>
      <c r="O431" s="335"/>
      <c r="P431" s="424"/>
      <c r="Q431" s="424"/>
      <c r="R431" s="424"/>
      <c r="S431" s="424"/>
      <c r="T431" s="424"/>
      <c r="U431" s="424"/>
      <c r="V431" s="424"/>
      <c r="W431" s="424"/>
      <c r="X431" s="424"/>
      <c r="Y431" s="424"/>
      <c r="Z431" s="424"/>
      <c r="AA431" s="424"/>
      <c r="AB431" s="424"/>
      <c r="AC431" s="424"/>
      <c r="AD431" s="424"/>
      <c r="AE431" s="424"/>
      <c r="AF431" s="424"/>
      <c r="AG431" s="424"/>
      <c r="AH431" s="424"/>
      <c r="AI431" s="424"/>
      <c r="AJ431" s="424"/>
      <c r="AK431" s="424"/>
      <c r="AL431" s="424"/>
      <c r="AM431" s="424"/>
      <c r="AN431" s="424"/>
      <c r="AO431" s="424"/>
      <c r="AP431" s="424"/>
      <c r="AQ431" s="424"/>
      <c r="AR431" s="424"/>
      <c r="AS431" s="424"/>
      <c r="AT431" s="424"/>
      <c r="AU431" s="424"/>
      <c r="AV431" s="424"/>
      <c r="AW431" s="424"/>
      <c r="AX431" s="424"/>
      <c r="AY431" s="424"/>
    </row>
    <row r="432" spans="1:51" s="331" customFormat="1">
      <c r="A432" s="476">
        <v>45916</v>
      </c>
      <c r="B432" s="469" t="s">
        <v>2101</v>
      </c>
      <c r="C432" s="462" t="s">
        <v>173</v>
      </c>
      <c r="D432" s="462" t="s">
        <v>118</v>
      </c>
      <c r="E432" s="359">
        <v>1000</v>
      </c>
      <c r="F432" s="463">
        <f t="shared" si="8"/>
        <v>1.8744037053212446</v>
      </c>
      <c r="G432" s="464">
        <v>533.50300000000004</v>
      </c>
      <c r="H432" s="465" t="s">
        <v>152</v>
      </c>
      <c r="I432" s="469" t="s">
        <v>2868</v>
      </c>
      <c r="J432" s="247" t="s">
        <v>97</v>
      </c>
      <c r="K432" s="247" t="s">
        <v>1133</v>
      </c>
      <c r="L432" s="247" t="s">
        <v>154</v>
      </c>
      <c r="M432" s="335"/>
      <c r="N432" s="335"/>
      <c r="O432" s="335"/>
      <c r="P432" s="424"/>
      <c r="Q432" s="424"/>
      <c r="R432" s="424"/>
      <c r="S432" s="424"/>
      <c r="T432" s="424"/>
      <c r="U432" s="424"/>
      <c r="V432" s="424"/>
      <c r="W432" s="424"/>
      <c r="X432" s="424"/>
      <c r="Y432" s="424"/>
      <c r="Z432" s="424"/>
      <c r="AA432" s="424"/>
      <c r="AB432" s="424"/>
      <c r="AC432" s="424"/>
      <c r="AD432" s="424"/>
      <c r="AE432" s="424"/>
      <c r="AF432" s="424"/>
      <c r="AG432" s="424"/>
      <c r="AH432" s="424"/>
      <c r="AI432" s="424"/>
      <c r="AJ432" s="424"/>
      <c r="AK432" s="424"/>
      <c r="AL432" s="424"/>
      <c r="AM432" s="424"/>
      <c r="AN432" s="424"/>
      <c r="AO432" s="424"/>
      <c r="AP432" s="424"/>
      <c r="AQ432" s="424"/>
      <c r="AR432" s="424"/>
      <c r="AS432" s="424"/>
      <c r="AT432" s="424"/>
      <c r="AU432" s="424"/>
      <c r="AV432" s="424"/>
      <c r="AW432" s="424"/>
      <c r="AX432" s="424"/>
      <c r="AY432" s="424"/>
    </row>
    <row r="433" spans="1:51" s="331" customFormat="1">
      <c r="A433" s="474">
        <v>45916</v>
      </c>
      <c r="B433" s="216" t="s">
        <v>2892</v>
      </c>
      <c r="C433" s="216" t="s">
        <v>173</v>
      </c>
      <c r="D433" s="337" t="s">
        <v>116</v>
      </c>
      <c r="E433" s="475">
        <v>1500</v>
      </c>
      <c r="F433" s="463">
        <f t="shared" si="8"/>
        <v>2.8116055579818666</v>
      </c>
      <c r="G433" s="464">
        <v>533.50300000000004</v>
      </c>
      <c r="H433" s="339" t="s">
        <v>1508</v>
      </c>
      <c r="I433" s="216" t="s">
        <v>2911</v>
      </c>
      <c r="J433" s="247" t="s">
        <v>97</v>
      </c>
      <c r="K433" s="247" t="s">
        <v>1133</v>
      </c>
      <c r="L433" s="247" t="s">
        <v>154</v>
      </c>
      <c r="M433" s="335"/>
      <c r="N433" s="335"/>
      <c r="O433" s="335"/>
      <c r="P433" s="424"/>
      <c r="Q433" s="424"/>
      <c r="R433" s="424"/>
      <c r="S433" s="424"/>
      <c r="T433" s="424"/>
      <c r="U433" s="424"/>
      <c r="V433" s="424"/>
      <c r="W433" s="424"/>
      <c r="X433" s="424"/>
      <c r="Y433" s="424"/>
      <c r="Z433" s="424"/>
      <c r="AA433" s="424"/>
      <c r="AB433" s="424"/>
      <c r="AC433" s="424"/>
      <c r="AD433" s="424"/>
      <c r="AE433" s="424"/>
      <c r="AF433" s="424"/>
      <c r="AG433" s="424"/>
      <c r="AH433" s="424"/>
      <c r="AI433" s="424"/>
      <c r="AJ433" s="424"/>
      <c r="AK433" s="424"/>
      <c r="AL433" s="424"/>
      <c r="AM433" s="424"/>
      <c r="AN433" s="424"/>
      <c r="AO433" s="424"/>
      <c r="AP433" s="424"/>
      <c r="AQ433" s="424"/>
      <c r="AR433" s="424"/>
      <c r="AS433" s="424"/>
      <c r="AT433" s="424"/>
      <c r="AU433" s="424"/>
      <c r="AV433" s="424"/>
      <c r="AW433" s="424"/>
      <c r="AX433" s="424"/>
      <c r="AY433" s="424"/>
    </row>
    <row r="434" spans="1:51" s="331" customFormat="1">
      <c r="A434" s="474">
        <v>45916</v>
      </c>
      <c r="B434" s="216" t="s">
        <v>2893</v>
      </c>
      <c r="C434" s="216" t="s">
        <v>173</v>
      </c>
      <c r="D434" s="337" t="s">
        <v>116</v>
      </c>
      <c r="E434" s="475">
        <v>1500</v>
      </c>
      <c r="F434" s="463">
        <f t="shared" si="8"/>
        <v>2.8116055579818666</v>
      </c>
      <c r="G434" s="464">
        <v>533.50300000000004</v>
      </c>
      <c r="H434" s="339" t="s">
        <v>1508</v>
      </c>
      <c r="I434" s="216" t="s">
        <v>2911</v>
      </c>
      <c r="J434" s="247" t="s">
        <v>97</v>
      </c>
      <c r="K434" s="247" t="s">
        <v>1133</v>
      </c>
      <c r="L434" s="247" t="s">
        <v>154</v>
      </c>
      <c r="M434" s="335"/>
      <c r="N434" s="335"/>
      <c r="O434" s="335"/>
      <c r="P434" s="424"/>
      <c r="Q434" s="424"/>
      <c r="R434" s="424"/>
      <c r="S434" s="424"/>
      <c r="T434" s="424"/>
      <c r="U434" s="424"/>
      <c r="V434" s="424"/>
      <c r="W434" s="424"/>
      <c r="X434" s="424"/>
      <c r="Y434" s="424"/>
      <c r="Z434" s="424"/>
      <c r="AA434" s="424"/>
      <c r="AB434" s="424"/>
      <c r="AC434" s="424"/>
      <c r="AD434" s="424"/>
      <c r="AE434" s="424"/>
      <c r="AF434" s="424"/>
      <c r="AG434" s="424"/>
      <c r="AH434" s="424"/>
      <c r="AI434" s="424"/>
      <c r="AJ434" s="424"/>
      <c r="AK434" s="424"/>
      <c r="AL434" s="424"/>
      <c r="AM434" s="424"/>
      <c r="AN434" s="424"/>
      <c r="AO434" s="424"/>
      <c r="AP434" s="424"/>
      <c r="AQ434" s="424"/>
      <c r="AR434" s="424"/>
      <c r="AS434" s="424"/>
      <c r="AT434" s="424"/>
      <c r="AU434" s="424"/>
      <c r="AV434" s="424"/>
      <c r="AW434" s="424"/>
      <c r="AX434" s="424"/>
      <c r="AY434" s="424"/>
    </row>
    <row r="435" spans="1:51" s="331" customFormat="1">
      <c r="A435" s="467">
        <v>45916</v>
      </c>
      <c r="B435" s="469" t="s">
        <v>2942</v>
      </c>
      <c r="C435" s="469" t="s">
        <v>173</v>
      </c>
      <c r="D435" s="469" t="s">
        <v>117</v>
      </c>
      <c r="E435" s="470">
        <v>1000</v>
      </c>
      <c r="F435" s="463">
        <f t="shared" si="8"/>
        <v>1.8744037053212446</v>
      </c>
      <c r="G435" s="464">
        <v>533.50300000000004</v>
      </c>
      <c r="H435" s="469" t="s">
        <v>583</v>
      </c>
      <c r="I435" s="469" t="s">
        <v>2970</v>
      </c>
      <c r="J435" s="247" t="s">
        <v>97</v>
      </c>
      <c r="K435" s="247" t="s">
        <v>1133</v>
      </c>
      <c r="L435" s="247" t="s">
        <v>154</v>
      </c>
      <c r="M435" s="414"/>
      <c r="N435" s="414"/>
      <c r="O435" s="414"/>
      <c r="P435" s="424"/>
      <c r="Q435" s="424"/>
      <c r="R435" s="424"/>
      <c r="S435" s="424"/>
      <c r="T435" s="424"/>
      <c r="U435" s="424"/>
      <c r="V435" s="424"/>
      <c r="W435" s="424"/>
      <c r="X435" s="424"/>
      <c r="Y435" s="424"/>
      <c r="Z435" s="424"/>
      <c r="AA435" s="424"/>
      <c r="AB435" s="424"/>
      <c r="AC435" s="424"/>
      <c r="AD435" s="424"/>
      <c r="AE435" s="424"/>
      <c r="AF435" s="424"/>
      <c r="AG435" s="424"/>
      <c r="AH435" s="424"/>
      <c r="AI435" s="424"/>
      <c r="AJ435" s="424"/>
      <c r="AK435" s="424"/>
      <c r="AL435" s="424"/>
      <c r="AM435" s="424"/>
      <c r="AN435" s="424"/>
      <c r="AO435" s="424"/>
      <c r="AP435" s="424"/>
      <c r="AQ435" s="424"/>
      <c r="AR435" s="424"/>
      <c r="AS435" s="424"/>
      <c r="AT435" s="424"/>
      <c r="AU435" s="424"/>
      <c r="AV435" s="424"/>
      <c r="AW435" s="424"/>
      <c r="AX435" s="424"/>
      <c r="AY435" s="424"/>
    </row>
    <row r="436" spans="1:51" s="331" customFormat="1">
      <c r="A436" s="467">
        <v>45916</v>
      </c>
      <c r="B436" s="469" t="s">
        <v>2940</v>
      </c>
      <c r="C436" s="469" t="s">
        <v>173</v>
      </c>
      <c r="D436" s="469" t="s">
        <v>117</v>
      </c>
      <c r="E436" s="470">
        <v>1000</v>
      </c>
      <c r="F436" s="463">
        <f t="shared" si="8"/>
        <v>1.8744037053212446</v>
      </c>
      <c r="G436" s="464">
        <v>533.50300000000004</v>
      </c>
      <c r="H436" s="469" t="s">
        <v>583</v>
      </c>
      <c r="I436" s="469" t="s">
        <v>2970</v>
      </c>
      <c r="J436" s="247" t="s">
        <v>97</v>
      </c>
      <c r="K436" s="247" t="s">
        <v>1133</v>
      </c>
      <c r="L436" s="247" t="s">
        <v>154</v>
      </c>
      <c r="M436" s="414"/>
      <c r="N436" s="414"/>
      <c r="O436" s="414"/>
      <c r="P436" s="424"/>
      <c r="Q436" s="424"/>
      <c r="R436" s="424"/>
      <c r="S436" s="424"/>
      <c r="T436" s="424"/>
      <c r="U436" s="424"/>
      <c r="V436" s="424"/>
      <c r="W436" s="424"/>
      <c r="X436" s="424"/>
      <c r="Y436" s="424"/>
      <c r="Z436" s="424"/>
      <c r="AA436" s="424"/>
      <c r="AB436" s="424"/>
      <c r="AC436" s="424"/>
      <c r="AD436" s="424"/>
      <c r="AE436" s="424"/>
      <c r="AF436" s="424"/>
      <c r="AG436" s="424"/>
      <c r="AH436" s="424"/>
      <c r="AI436" s="424"/>
      <c r="AJ436" s="424"/>
      <c r="AK436" s="424"/>
      <c r="AL436" s="424"/>
      <c r="AM436" s="424"/>
      <c r="AN436" s="424"/>
      <c r="AO436" s="424"/>
      <c r="AP436" s="424"/>
      <c r="AQ436" s="424"/>
      <c r="AR436" s="424"/>
      <c r="AS436" s="424"/>
      <c r="AT436" s="424"/>
      <c r="AU436" s="424"/>
      <c r="AV436" s="424"/>
      <c r="AW436" s="424"/>
      <c r="AX436" s="424"/>
      <c r="AY436" s="424"/>
    </row>
    <row r="437" spans="1:51" s="331" customFormat="1">
      <c r="A437" s="474">
        <v>45916</v>
      </c>
      <c r="B437" s="475" t="s">
        <v>3053</v>
      </c>
      <c r="C437" s="475" t="s">
        <v>173</v>
      </c>
      <c r="D437" s="475" t="s">
        <v>120</v>
      </c>
      <c r="E437" s="475">
        <v>1000</v>
      </c>
      <c r="F437" s="463">
        <f t="shared" si="8"/>
        <v>1.8744037053212446</v>
      </c>
      <c r="G437" s="464">
        <v>533.50300000000004</v>
      </c>
      <c r="H437" s="475" t="s">
        <v>183</v>
      </c>
      <c r="I437" s="475" t="s">
        <v>3086</v>
      </c>
      <c r="J437" s="247" t="s">
        <v>97</v>
      </c>
      <c r="K437" s="247" t="s">
        <v>1133</v>
      </c>
      <c r="L437" s="247" t="s">
        <v>154</v>
      </c>
      <c r="M437" s="414"/>
      <c r="N437" s="414"/>
      <c r="O437" s="414"/>
      <c r="P437" s="424"/>
      <c r="Q437" s="424"/>
      <c r="R437" s="424"/>
      <c r="S437" s="424"/>
      <c r="T437" s="424"/>
      <c r="U437" s="424"/>
      <c r="V437" s="424"/>
      <c r="W437" s="424"/>
      <c r="X437" s="424"/>
      <c r="Y437" s="424"/>
      <c r="Z437" s="424"/>
      <c r="AA437" s="424"/>
      <c r="AB437" s="424"/>
      <c r="AC437" s="424"/>
      <c r="AD437" s="424"/>
      <c r="AE437" s="424"/>
      <c r="AF437" s="424"/>
      <c r="AG437" s="424"/>
      <c r="AH437" s="424"/>
      <c r="AI437" s="424"/>
      <c r="AJ437" s="424"/>
      <c r="AK437" s="424"/>
      <c r="AL437" s="424"/>
      <c r="AM437" s="424"/>
      <c r="AN437" s="424"/>
      <c r="AO437" s="424"/>
      <c r="AP437" s="424"/>
      <c r="AQ437" s="424"/>
      <c r="AR437" s="424"/>
      <c r="AS437" s="424"/>
      <c r="AT437" s="424"/>
      <c r="AU437" s="424"/>
      <c r="AV437" s="424"/>
      <c r="AW437" s="424"/>
      <c r="AX437" s="424"/>
      <c r="AY437" s="424"/>
    </row>
    <row r="438" spans="1:51" s="331" customFormat="1">
      <c r="A438" s="474">
        <v>45916</v>
      </c>
      <c r="B438" s="475" t="s">
        <v>3054</v>
      </c>
      <c r="C438" s="475" t="s">
        <v>173</v>
      </c>
      <c r="D438" s="475" t="s">
        <v>120</v>
      </c>
      <c r="E438" s="475">
        <v>1000</v>
      </c>
      <c r="F438" s="463">
        <f t="shared" si="8"/>
        <v>1.8744037053212446</v>
      </c>
      <c r="G438" s="464">
        <v>533.50300000000004</v>
      </c>
      <c r="H438" s="475" t="s">
        <v>183</v>
      </c>
      <c r="I438" s="475" t="s">
        <v>3086</v>
      </c>
      <c r="J438" s="247" t="s">
        <v>97</v>
      </c>
      <c r="K438" s="247" t="s">
        <v>1133</v>
      </c>
      <c r="L438" s="247" t="s">
        <v>154</v>
      </c>
      <c r="M438" s="414"/>
      <c r="N438" s="414"/>
      <c r="O438" s="414"/>
      <c r="P438" s="424"/>
      <c r="Q438" s="424"/>
      <c r="R438" s="424"/>
      <c r="S438" s="424"/>
      <c r="T438" s="424"/>
      <c r="U438" s="424"/>
      <c r="V438" s="424"/>
      <c r="W438" s="424"/>
      <c r="X438" s="424"/>
      <c r="Y438" s="424"/>
      <c r="Z438" s="424"/>
      <c r="AA438" s="424"/>
      <c r="AB438" s="424"/>
      <c r="AC438" s="424"/>
      <c r="AD438" s="424"/>
      <c r="AE438" s="424"/>
      <c r="AF438" s="424"/>
      <c r="AG438" s="424"/>
      <c r="AH438" s="424"/>
      <c r="AI438" s="424"/>
      <c r="AJ438" s="424"/>
      <c r="AK438" s="424"/>
      <c r="AL438" s="424"/>
      <c r="AM438" s="424"/>
      <c r="AN438" s="424"/>
      <c r="AO438" s="424"/>
      <c r="AP438" s="424"/>
      <c r="AQ438" s="424"/>
      <c r="AR438" s="424"/>
      <c r="AS438" s="424"/>
      <c r="AT438" s="424"/>
      <c r="AU438" s="424"/>
      <c r="AV438" s="424"/>
      <c r="AW438" s="424"/>
      <c r="AX438" s="424"/>
      <c r="AY438" s="424"/>
    </row>
    <row r="439" spans="1:51" s="331" customFormat="1">
      <c r="A439" s="474">
        <v>45916</v>
      </c>
      <c r="B439" s="475" t="s">
        <v>3055</v>
      </c>
      <c r="C439" s="475" t="s">
        <v>173</v>
      </c>
      <c r="D439" s="475" t="s">
        <v>120</v>
      </c>
      <c r="E439" s="475">
        <v>1000</v>
      </c>
      <c r="F439" s="463">
        <f t="shared" si="8"/>
        <v>1.8744037053212446</v>
      </c>
      <c r="G439" s="464">
        <v>533.50300000000004</v>
      </c>
      <c r="H439" s="475" t="s">
        <v>183</v>
      </c>
      <c r="I439" s="475" t="s">
        <v>3086</v>
      </c>
      <c r="J439" s="247" t="s">
        <v>97</v>
      </c>
      <c r="K439" s="247" t="s">
        <v>1133</v>
      </c>
      <c r="L439" s="247" t="s">
        <v>154</v>
      </c>
      <c r="M439" s="414"/>
      <c r="N439" s="414"/>
      <c r="O439" s="414"/>
      <c r="P439" s="424"/>
      <c r="Q439" s="424"/>
      <c r="R439" s="424"/>
      <c r="S439" s="424"/>
      <c r="T439" s="424"/>
      <c r="U439" s="424"/>
      <c r="V439" s="424"/>
      <c r="W439" s="424"/>
      <c r="X439" s="424"/>
      <c r="Y439" s="424"/>
      <c r="Z439" s="424"/>
      <c r="AA439" s="424"/>
      <c r="AB439" s="424"/>
      <c r="AC439" s="424"/>
      <c r="AD439" s="424"/>
      <c r="AE439" s="424"/>
      <c r="AF439" s="424"/>
      <c r="AG439" s="424"/>
      <c r="AH439" s="424"/>
      <c r="AI439" s="424"/>
      <c r="AJ439" s="424"/>
      <c r="AK439" s="424"/>
      <c r="AL439" s="424"/>
      <c r="AM439" s="424"/>
      <c r="AN439" s="424"/>
      <c r="AO439" s="424"/>
      <c r="AP439" s="424"/>
      <c r="AQ439" s="424"/>
      <c r="AR439" s="424"/>
      <c r="AS439" s="424"/>
      <c r="AT439" s="424"/>
      <c r="AU439" s="424"/>
      <c r="AV439" s="424"/>
      <c r="AW439" s="424"/>
      <c r="AX439" s="424"/>
      <c r="AY439" s="424"/>
    </row>
    <row r="440" spans="1:51" s="331" customFormat="1">
      <c r="A440" s="474">
        <v>45916</v>
      </c>
      <c r="B440" s="475" t="s">
        <v>4069</v>
      </c>
      <c r="C440" s="475" t="s">
        <v>173</v>
      </c>
      <c r="D440" s="475" t="s">
        <v>120</v>
      </c>
      <c r="E440" s="475">
        <v>1000</v>
      </c>
      <c r="F440" s="463">
        <f t="shared" si="8"/>
        <v>1.8744037053212446</v>
      </c>
      <c r="G440" s="464">
        <v>533.50300000000004</v>
      </c>
      <c r="H440" s="475" t="s">
        <v>183</v>
      </c>
      <c r="I440" s="475" t="s">
        <v>3086</v>
      </c>
      <c r="J440" s="247" t="s">
        <v>97</v>
      </c>
      <c r="K440" s="247" t="s">
        <v>1133</v>
      </c>
      <c r="L440" s="247" t="s">
        <v>154</v>
      </c>
      <c r="M440" s="414"/>
      <c r="N440" s="414"/>
      <c r="O440" s="414"/>
      <c r="P440" s="424"/>
      <c r="Q440" s="424"/>
      <c r="R440" s="424"/>
      <c r="S440" s="424"/>
      <c r="T440" s="424"/>
      <c r="U440" s="424"/>
      <c r="V440" s="424"/>
      <c r="W440" s="424"/>
      <c r="X440" s="424"/>
      <c r="Y440" s="424"/>
      <c r="Z440" s="424"/>
      <c r="AA440" s="424"/>
      <c r="AB440" s="424"/>
      <c r="AC440" s="424"/>
      <c r="AD440" s="424"/>
      <c r="AE440" s="424"/>
      <c r="AF440" s="424"/>
      <c r="AG440" s="424"/>
      <c r="AH440" s="424"/>
      <c r="AI440" s="424"/>
      <c r="AJ440" s="424"/>
      <c r="AK440" s="424"/>
      <c r="AL440" s="424"/>
      <c r="AM440" s="424"/>
      <c r="AN440" s="424"/>
      <c r="AO440" s="424"/>
      <c r="AP440" s="424"/>
      <c r="AQ440" s="424"/>
      <c r="AR440" s="424"/>
      <c r="AS440" s="424"/>
      <c r="AT440" s="424"/>
      <c r="AU440" s="424"/>
      <c r="AV440" s="424"/>
      <c r="AW440" s="424"/>
      <c r="AX440" s="424"/>
      <c r="AY440" s="424"/>
    </row>
    <row r="441" spans="1:51" s="331" customFormat="1">
      <c r="A441" s="474">
        <v>45916</v>
      </c>
      <c r="B441" s="475" t="s">
        <v>3056</v>
      </c>
      <c r="C441" s="475" t="s">
        <v>173</v>
      </c>
      <c r="D441" s="475" t="s">
        <v>120</v>
      </c>
      <c r="E441" s="475">
        <v>1000</v>
      </c>
      <c r="F441" s="463">
        <f t="shared" si="8"/>
        <v>1.8744037053212446</v>
      </c>
      <c r="G441" s="464">
        <v>533.50300000000004</v>
      </c>
      <c r="H441" s="475" t="s">
        <v>183</v>
      </c>
      <c r="I441" s="475" t="s">
        <v>3086</v>
      </c>
      <c r="J441" s="247" t="s">
        <v>97</v>
      </c>
      <c r="K441" s="247" t="s">
        <v>1133</v>
      </c>
      <c r="L441" s="247" t="s">
        <v>154</v>
      </c>
      <c r="M441" s="414"/>
      <c r="N441" s="414"/>
      <c r="O441" s="414"/>
      <c r="P441" s="424"/>
      <c r="Q441" s="424"/>
      <c r="R441" s="424"/>
      <c r="S441" s="424"/>
      <c r="T441" s="424"/>
      <c r="U441" s="424"/>
      <c r="V441" s="424"/>
      <c r="W441" s="424"/>
      <c r="X441" s="424"/>
      <c r="Y441" s="424"/>
      <c r="Z441" s="424"/>
      <c r="AA441" s="424"/>
      <c r="AB441" s="424"/>
      <c r="AC441" s="424"/>
      <c r="AD441" s="424"/>
      <c r="AE441" s="424"/>
      <c r="AF441" s="424"/>
      <c r="AG441" s="424"/>
      <c r="AH441" s="424"/>
      <c r="AI441" s="424"/>
      <c r="AJ441" s="424"/>
      <c r="AK441" s="424"/>
      <c r="AL441" s="424"/>
      <c r="AM441" s="424"/>
      <c r="AN441" s="424"/>
      <c r="AO441" s="424"/>
      <c r="AP441" s="424"/>
      <c r="AQ441" s="424"/>
      <c r="AR441" s="424"/>
      <c r="AS441" s="424"/>
      <c r="AT441" s="424"/>
      <c r="AU441" s="424"/>
      <c r="AV441" s="424"/>
      <c r="AW441" s="424"/>
      <c r="AX441" s="424"/>
      <c r="AY441" s="424"/>
    </row>
    <row r="442" spans="1:51" s="331" customFormat="1">
      <c r="A442" s="474">
        <v>45916</v>
      </c>
      <c r="B442" s="475" t="s">
        <v>3057</v>
      </c>
      <c r="C442" s="475" t="s">
        <v>173</v>
      </c>
      <c r="D442" s="475" t="s">
        <v>120</v>
      </c>
      <c r="E442" s="475">
        <v>1000</v>
      </c>
      <c r="F442" s="463">
        <f t="shared" si="8"/>
        <v>1.8744037053212446</v>
      </c>
      <c r="G442" s="464">
        <v>533.50300000000004</v>
      </c>
      <c r="H442" s="475" t="s">
        <v>183</v>
      </c>
      <c r="I442" s="475" t="s">
        <v>3086</v>
      </c>
      <c r="J442" s="247" t="s">
        <v>97</v>
      </c>
      <c r="K442" s="247" t="s">
        <v>1133</v>
      </c>
      <c r="L442" s="247" t="s">
        <v>154</v>
      </c>
      <c r="M442" s="414"/>
      <c r="N442" s="414"/>
      <c r="O442" s="414"/>
      <c r="P442" s="424"/>
      <c r="Q442" s="424"/>
      <c r="R442" s="424"/>
      <c r="S442" s="424"/>
      <c r="T442" s="424"/>
      <c r="U442" s="424"/>
      <c r="V442" s="424"/>
      <c r="W442" s="424"/>
      <c r="X442" s="424"/>
      <c r="Y442" s="424"/>
      <c r="Z442" s="424"/>
      <c r="AA442" s="424"/>
      <c r="AB442" s="424"/>
      <c r="AC442" s="424"/>
      <c r="AD442" s="424"/>
      <c r="AE442" s="424"/>
      <c r="AF442" s="424"/>
      <c r="AG442" s="424"/>
      <c r="AH442" s="424"/>
      <c r="AI442" s="424"/>
      <c r="AJ442" s="424"/>
      <c r="AK442" s="424"/>
      <c r="AL442" s="424"/>
      <c r="AM442" s="424"/>
      <c r="AN442" s="424"/>
      <c r="AO442" s="424"/>
      <c r="AP442" s="424"/>
      <c r="AQ442" s="424"/>
      <c r="AR442" s="424"/>
      <c r="AS442" s="424"/>
      <c r="AT442" s="424"/>
      <c r="AU442" s="424"/>
      <c r="AV442" s="424"/>
      <c r="AW442" s="424"/>
      <c r="AX442" s="424"/>
      <c r="AY442" s="424"/>
    </row>
    <row r="443" spans="1:51" s="331" customFormat="1">
      <c r="A443" s="474">
        <v>45916</v>
      </c>
      <c r="B443" s="475" t="s">
        <v>3042</v>
      </c>
      <c r="C443" s="475" t="s">
        <v>173</v>
      </c>
      <c r="D443" s="475" t="s">
        <v>120</v>
      </c>
      <c r="E443" s="475">
        <v>1000</v>
      </c>
      <c r="F443" s="463">
        <f t="shared" si="8"/>
        <v>1.8744037053212446</v>
      </c>
      <c r="G443" s="464">
        <v>533.50300000000004</v>
      </c>
      <c r="H443" s="475" t="s">
        <v>183</v>
      </c>
      <c r="I443" s="475" t="s">
        <v>3086</v>
      </c>
      <c r="J443" s="247" t="s">
        <v>97</v>
      </c>
      <c r="K443" s="247" t="s">
        <v>1133</v>
      </c>
      <c r="L443" s="247" t="s">
        <v>154</v>
      </c>
      <c r="M443" s="414"/>
      <c r="N443" s="414"/>
      <c r="O443" s="414"/>
      <c r="P443" s="424"/>
      <c r="Q443" s="424"/>
      <c r="R443" s="424"/>
      <c r="S443" s="424"/>
      <c r="T443" s="424"/>
      <c r="U443" s="424"/>
      <c r="V443" s="424"/>
      <c r="W443" s="424"/>
      <c r="X443" s="424"/>
      <c r="Y443" s="424"/>
      <c r="Z443" s="424"/>
      <c r="AA443" s="424"/>
      <c r="AB443" s="424"/>
      <c r="AC443" s="424"/>
      <c r="AD443" s="424"/>
      <c r="AE443" s="424"/>
      <c r="AF443" s="424"/>
      <c r="AG443" s="424"/>
      <c r="AH443" s="424"/>
      <c r="AI443" s="424"/>
      <c r="AJ443" s="424"/>
      <c r="AK443" s="424"/>
      <c r="AL443" s="424"/>
      <c r="AM443" s="424"/>
      <c r="AN443" s="424"/>
      <c r="AO443" s="424"/>
      <c r="AP443" s="424"/>
      <c r="AQ443" s="424"/>
      <c r="AR443" s="424"/>
      <c r="AS443" s="424"/>
      <c r="AT443" s="424"/>
      <c r="AU443" s="424"/>
      <c r="AV443" s="424"/>
      <c r="AW443" s="424"/>
      <c r="AX443" s="424"/>
      <c r="AY443" s="424"/>
    </row>
    <row r="444" spans="1:51" s="331" customFormat="1">
      <c r="A444" s="474">
        <v>45916</v>
      </c>
      <c r="B444" s="475" t="s">
        <v>3058</v>
      </c>
      <c r="C444" s="475" t="s">
        <v>173</v>
      </c>
      <c r="D444" s="475" t="s">
        <v>120</v>
      </c>
      <c r="E444" s="475">
        <v>1000</v>
      </c>
      <c r="F444" s="463">
        <f t="shared" si="8"/>
        <v>1.8744037053212446</v>
      </c>
      <c r="G444" s="464">
        <v>533.50300000000004</v>
      </c>
      <c r="H444" s="475" t="s">
        <v>183</v>
      </c>
      <c r="I444" s="475" t="s">
        <v>3086</v>
      </c>
      <c r="J444" s="247" t="s">
        <v>97</v>
      </c>
      <c r="K444" s="247" t="s">
        <v>1133</v>
      </c>
      <c r="L444" s="247" t="s">
        <v>154</v>
      </c>
      <c r="M444" s="414"/>
      <c r="N444" s="414"/>
      <c r="O444" s="414"/>
      <c r="P444" s="424"/>
      <c r="Q444" s="424"/>
      <c r="R444" s="424"/>
      <c r="S444" s="424"/>
      <c r="T444" s="424"/>
      <c r="U444" s="424"/>
      <c r="V444" s="424"/>
      <c r="W444" s="424"/>
      <c r="X444" s="424"/>
      <c r="Y444" s="424"/>
      <c r="Z444" s="424"/>
      <c r="AA444" s="424"/>
      <c r="AB444" s="424"/>
      <c r="AC444" s="424"/>
      <c r="AD444" s="424"/>
      <c r="AE444" s="424"/>
      <c r="AF444" s="424"/>
      <c r="AG444" s="424"/>
      <c r="AH444" s="424"/>
      <c r="AI444" s="424"/>
      <c r="AJ444" s="424"/>
      <c r="AK444" s="424"/>
      <c r="AL444" s="424"/>
      <c r="AM444" s="424"/>
      <c r="AN444" s="424"/>
      <c r="AO444" s="424"/>
      <c r="AP444" s="424"/>
      <c r="AQ444" s="424"/>
      <c r="AR444" s="424"/>
      <c r="AS444" s="424"/>
      <c r="AT444" s="424"/>
      <c r="AU444" s="424"/>
      <c r="AV444" s="424"/>
      <c r="AW444" s="424"/>
      <c r="AX444" s="424"/>
      <c r="AY444" s="424"/>
    </row>
    <row r="445" spans="1:51" s="331" customFormat="1">
      <c r="A445" s="476">
        <v>45916</v>
      </c>
      <c r="B445" s="469" t="s">
        <v>3153</v>
      </c>
      <c r="C445" s="469" t="s">
        <v>173</v>
      </c>
      <c r="D445" s="469" t="s">
        <v>120</v>
      </c>
      <c r="E445" s="469">
        <v>1000</v>
      </c>
      <c r="F445" s="463">
        <f t="shared" si="8"/>
        <v>1.8744037053212446</v>
      </c>
      <c r="G445" s="464">
        <v>533.50300000000004</v>
      </c>
      <c r="H445" s="469" t="s">
        <v>174</v>
      </c>
      <c r="I445" s="469" t="s">
        <v>3196</v>
      </c>
      <c r="J445" s="247" t="s">
        <v>97</v>
      </c>
      <c r="K445" s="247" t="s">
        <v>1133</v>
      </c>
      <c r="L445" s="247" t="s">
        <v>154</v>
      </c>
      <c r="M445" s="335"/>
      <c r="N445" s="335"/>
      <c r="O445" s="335"/>
      <c r="P445" s="424"/>
      <c r="Q445" s="424"/>
      <c r="R445" s="424"/>
      <c r="S445" s="424"/>
      <c r="T445" s="424"/>
      <c r="U445" s="424"/>
      <c r="V445" s="424"/>
      <c r="W445" s="424"/>
      <c r="X445" s="424"/>
      <c r="Y445" s="424"/>
      <c r="Z445" s="424"/>
      <c r="AA445" s="424"/>
      <c r="AB445" s="424"/>
      <c r="AC445" s="424"/>
      <c r="AD445" s="424"/>
      <c r="AE445" s="424"/>
      <c r="AF445" s="424"/>
      <c r="AG445" s="424"/>
      <c r="AH445" s="424"/>
      <c r="AI445" s="424"/>
      <c r="AJ445" s="424"/>
      <c r="AK445" s="424"/>
      <c r="AL445" s="424"/>
      <c r="AM445" s="424"/>
      <c r="AN445" s="424"/>
      <c r="AO445" s="424"/>
      <c r="AP445" s="424"/>
      <c r="AQ445" s="424"/>
      <c r="AR445" s="424"/>
      <c r="AS445" s="424"/>
      <c r="AT445" s="424"/>
      <c r="AU445" s="424"/>
      <c r="AV445" s="424"/>
      <c r="AW445" s="424"/>
      <c r="AX445" s="424"/>
      <c r="AY445" s="424"/>
    </row>
    <row r="446" spans="1:51" s="331" customFormat="1">
      <c r="A446" s="476">
        <v>45916</v>
      </c>
      <c r="B446" s="469" t="s">
        <v>3154</v>
      </c>
      <c r="C446" s="469" t="s">
        <v>173</v>
      </c>
      <c r="D446" s="469" t="s">
        <v>120</v>
      </c>
      <c r="E446" s="469">
        <v>1000</v>
      </c>
      <c r="F446" s="463">
        <f t="shared" si="8"/>
        <v>1.8744037053212446</v>
      </c>
      <c r="G446" s="464">
        <v>533.50300000000004</v>
      </c>
      <c r="H446" s="469" t="s">
        <v>174</v>
      </c>
      <c r="I446" s="469" t="s">
        <v>3196</v>
      </c>
      <c r="J446" s="247" t="s">
        <v>97</v>
      </c>
      <c r="K446" s="247" t="s">
        <v>1133</v>
      </c>
      <c r="L446" s="247" t="s">
        <v>154</v>
      </c>
      <c r="M446" s="414"/>
      <c r="N446" s="414"/>
      <c r="O446" s="414"/>
      <c r="P446" s="424"/>
      <c r="Q446" s="424"/>
      <c r="R446" s="424"/>
      <c r="S446" s="424"/>
      <c r="T446" s="424"/>
      <c r="U446" s="424"/>
      <c r="V446" s="424"/>
      <c r="W446" s="424"/>
      <c r="X446" s="424"/>
      <c r="Y446" s="424"/>
      <c r="Z446" s="424"/>
      <c r="AA446" s="424"/>
      <c r="AB446" s="424"/>
      <c r="AC446" s="424"/>
      <c r="AD446" s="424"/>
      <c r="AE446" s="424"/>
      <c r="AF446" s="424"/>
      <c r="AG446" s="424"/>
      <c r="AH446" s="424"/>
      <c r="AI446" s="424"/>
      <c r="AJ446" s="424"/>
      <c r="AK446" s="424"/>
      <c r="AL446" s="424"/>
      <c r="AM446" s="424"/>
      <c r="AN446" s="424"/>
      <c r="AO446" s="424"/>
      <c r="AP446" s="424"/>
      <c r="AQ446" s="424"/>
      <c r="AR446" s="424"/>
      <c r="AS446" s="424"/>
      <c r="AT446" s="424"/>
      <c r="AU446" s="424"/>
      <c r="AV446" s="424"/>
      <c r="AW446" s="424"/>
      <c r="AX446" s="424"/>
      <c r="AY446" s="424"/>
    </row>
    <row r="447" spans="1:51" s="331" customFormat="1">
      <c r="A447" s="476">
        <v>45916</v>
      </c>
      <c r="B447" s="469" t="s">
        <v>3155</v>
      </c>
      <c r="C447" s="469" t="s">
        <v>173</v>
      </c>
      <c r="D447" s="469" t="s">
        <v>120</v>
      </c>
      <c r="E447" s="469">
        <v>1000</v>
      </c>
      <c r="F447" s="463">
        <f t="shared" si="8"/>
        <v>1.8744037053212446</v>
      </c>
      <c r="G447" s="464">
        <v>533.50300000000004</v>
      </c>
      <c r="H447" s="469" t="s">
        <v>174</v>
      </c>
      <c r="I447" s="469" t="s">
        <v>3196</v>
      </c>
      <c r="J447" s="247" t="s">
        <v>97</v>
      </c>
      <c r="K447" s="247" t="s">
        <v>1133</v>
      </c>
      <c r="L447" s="247" t="s">
        <v>154</v>
      </c>
      <c r="M447" s="414"/>
      <c r="N447" s="414"/>
      <c r="O447" s="414"/>
      <c r="P447" s="424"/>
      <c r="Q447" s="424"/>
      <c r="R447" s="424"/>
      <c r="S447" s="424"/>
      <c r="T447" s="424"/>
      <c r="U447" s="424"/>
      <c r="V447" s="424"/>
      <c r="W447" s="424"/>
      <c r="X447" s="424"/>
      <c r="Y447" s="424"/>
      <c r="Z447" s="424"/>
      <c r="AA447" s="424"/>
      <c r="AB447" s="424"/>
      <c r="AC447" s="424"/>
      <c r="AD447" s="424"/>
      <c r="AE447" s="424"/>
      <c r="AF447" s="424"/>
      <c r="AG447" s="424"/>
      <c r="AH447" s="424"/>
      <c r="AI447" s="424"/>
      <c r="AJ447" s="424"/>
      <c r="AK447" s="424"/>
      <c r="AL447" s="424"/>
      <c r="AM447" s="424"/>
      <c r="AN447" s="424"/>
      <c r="AO447" s="424"/>
      <c r="AP447" s="424"/>
      <c r="AQ447" s="424"/>
      <c r="AR447" s="424"/>
      <c r="AS447" s="424"/>
      <c r="AT447" s="424"/>
      <c r="AU447" s="424"/>
      <c r="AV447" s="424"/>
      <c r="AW447" s="424"/>
      <c r="AX447" s="424"/>
      <c r="AY447" s="424"/>
    </row>
    <row r="448" spans="1:51" s="331" customFormat="1">
      <c r="A448" s="476">
        <v>45916</v>
      </c>
      <c r="B448" s="469" t="s">
        <v>3155</v>
      </c>
      <c r="C448" s="469" t="s">
        <v>173</v>
      </c>
      <c r="D448" s="469" t="s">
        <v>120</v>
      </c>
      <c r="E448" s="469">
        <v>1000</v>
      </c>
      <c r="F448" s="463">
        <f t="shared" si="8"/>
        <v>1.8744037053212446</v>
      </c>
      <c r="G448" s="464">
        <v>533.50300000000004</v>
      </c>
      <c r="H448" s="469" t="s">
        <v>174</v>
      </c>
      <c r="I448" s="469" t="s">
        <v>3196</v>
      </c>
      <c r="J448" s="247" t="s">
        <v>97</v>
      </c>
      <c r="K448" s="247" t="s">
        <v>1133</v>
      </c>
      <c r="L448" s="247" t="s">
        <v>154</v>
      </c>
      <c r="M448" s="414"/>
      <c r="N448" s="414"/>
      <c r="O448" s="414"/>
      <c r="P448" s="424"/>
      <c r="Q448" s="424"/>
      <c r="R448" s="424"/>
      <c r="S448" s="424"/>
      <c r="T448" s="424"/>
      <c r="U448" s="424"/>
      <c r="V448" s="424"/>
      <c r="W448" s="424"/>
      <c r="X448" s="424"/>
      <c r="Y448" s="424"/>
      <c r="Z448" s="424"/>
      <c r="AA448" s="424"/>
      <c r="AB448" s="424"/>
      <c r="AC448" s="424"/>
      <c r="AD448" s="424"/>
      <c r="AE448" s="424"/>
      <c r="AF448" s="424"/>
      <c r="AG448" s="424"/>
      <c r="AH448" s="424"/>
      <c r="AI448" s="424"/>
      <c r="AJ448" s="424"/>
      <c r="AK448" s="424"/>
      <c r="AL448" s="424"/>
      <c r="AM448" s="424"/>
      <c r="AN448" s="424"/>
      <c r="AO448" s="424"/>
      <c r="AP448" s="424"/>
      <c r="AQ448" s="424"/>
      <c r="AR448" s="424"/>
      <c r="AS448" s="424"/>
      <c r="AT448" s="424"/>
      <c r="AU448" s="424"/>
      <c r="AV448" s="424"/>
      <c r="AW448" s="424"/>
      <c r="AX448" s="424"/>
      <c r="AY448" s="424"/>
    </row>
    <row r="449" spans="1:51" s="331" customFormat="1">
      <c r="A449" s="476">
        <v>45916</v>
      </c>
      <c r="B449" s="469" t="s">
        <v>3156</v>
      </c>
      <c r="C449" s="469" t="s">
        <v>173</v>
      </c>
      <c r="D449" s="469" t="s">
        <v>120</v>
      </c>
      <c r="E449" s="469">
        <v>1000</v>
      </c>
      <c r="F449" s="463">
        <f t="shared" si="8"/>
        <v>1.8744037053212446</v>
      </c>
      <c r="G449" s="464">
        <v>533.50300000000004</v>
      </c>
      <c r="H449" s="469" t="s">
        <v>174</v>
      </c>
      <c r="I449" s="469" t="s">
        <v>3196</v>
      </c>
      <c r="J449" s="247" t="s">
        <v>97</v>
      </c>
      <c r="K449" s="247" t="s">
        <v>1133</v>
      </c>
      <c r="L449" s="247" t="s">
        <v>154</v>
      </c>
      <c r="M449" s="414"/>
      <c r="N449" s="414"/>
      <c r="O449" s="414"/>
      <c r="P449" s="424"/>
      <c r="Q449" s="424"/>
      <c r="R449" s="424"/>
      <c r="S449" s="424"/>
      <c r="T449" s="424"/>
      <c r="U449" s="424"/>
      <c r="V449" s="424"/>
      <c r="W449" s="424"/>
      <c r="X449" s="424"/>
      <c r="Y449" s="424"/>
      <c r="Z449" s="424"/>
      <c r="AA449" s="424"/>
      <c r="AB449" s="424"/>
      <c r="AC449" s="424"/>
      <c r="AD449" s="424"/>
      <c r="AE449" s="424"/>
      <c r="AF449" s="424"/>
      <c r="AG449" s="424"/>
      <c r="AH449" s="424"/>
      <c r="AI449" s="424"/>
      <c r="AJ449" s="424"/>
      <c r="AK449" s="424"/>
      <c r="AL449" s="424"/>
      <c r="AM449" s="424"/>
      <c r="AN449" s="424"/>
      <c r="AO449" s="424"/>
      <c r="AP449" s="424"/>
      <c r="AQ449" s="424"/>
      <c r="AR449" s="424"/>
      <c r="AS449" s="424"/>
      <c r="AT449" s="424"/>
      <c r="AU449" s="424"/>
      <c r="AV449" s="424"/>
      <c r="AW449" s="424"/>
      <c r="AX449" s="424"/>
      <c r="AY449" s="424"/>
    </row>
    <row r="450" spans="1:51" s="331" customFormat="1">
      <c r="A450" s="476">
        <v>45916</v>
      </c>
      <c r="B450" s="469" t="s">
        <v>3157</v>
      </c>
      <c r="C450" s="469" t="s">
        <v>173</v>
      </c>
      <c r="D450" s="469" t="s">
        <v>120</v>
      </c>
      <c r="E450" s="469">
        <v>1000</v>
      </c>
      <c r="F450" s="463">
        <f t="shared" si="8"/>
        <v>1.8744037053212446</v>
      </c>
      <c r="G450" s="464">
        <v>533.50300000000004</v>
      </c>
      <c r="H450" s="469" t="s">
        <v>174</v>
      </c>
      <c r="I450" s="469" t="s">
        <v>3196</v>
      </c>
      <c r="J450" s="247" t="s">
        <v>97</v>
      </c>
      <c r="K450" s="247" t="s">
        <v>1133</v>
      </c>
      <c r="L450" s="247" t="s">
        <v>154</v>
      </c>
      <c r="M450" s="414"/>
      <c r="N450" s="414"/>
      <c r="O450" s="414"/>
      <c r="P450" s="424"/>
      <c r="Q450" s="424"/>
      <c r="R450" s="424"/>
      <c r="S450" s="424"/>
      <c r="T450" s="424"/>
      <c r="U450" s="424"/>
      <c r="V450" s="424"/>
      <c r="W450" s="424"/>
      <c r="X450" s="424"/>
      <c r="Y450" s="424"/>
      <c r="Z450" s="424"/>
      <c r="AA450" s="424"/>
      <c r="AB450" s="424"/>
      <c r="AC450" s="424"/>
      <c r="AD450" s="424"/>
      <c r="AE450" s="424"/>
      <c r="AF450" s="424"/>
      <c r="AG450" s="424"/>
      <c r="AH450" s="424"/>
      <c r="AI450" s="424"/>
      <c r="AJ450" s="424"/>
      <c r="AK450" s="424"/>
      <c r="AL450" s="424"/>
      <c r="AM450" s="424"/>
      <c r="AN450" s="424"/>
      <c r="AO450" s="424"/>
      <c r="AP450" s="424"/>
      <c r="AQ450" s="424"/>
      <c r="AR450" s="424"/>
      <c r="AS450" s="424"/>
      <c r="AT450" s="424"/>
      <c r="AU450" s="424"/>
      <c r="AV450" s="424"/>
      <c r="AW450" s="424"/>
      <c r="AX450" s="424"/>
      <c r="AY450" s="424"/>
    </row>
    <row r="451" spans="1:51" s="331" customFormat="1">
      <c r="A451" s="476">
        <v>45916</v>
      </c>
      <c r="B451" s="469" t="s">
        <v>3243</v>
      </c>
      <c r="C451" s="469" t="s">
        <v>173</v>
      </c>
      <c r="D451" s="469" t="s">
        <v>120</v>
      </c>
      <c r="E451" s="469">
        <v>2500</v>
      </c>
      <c r="F451" s="463">
        <f t="shared" si="8"/>
        <v>4.6860092633031112</v>
      </c>
      <c r="G451" s="464">
        <v>533.50300000000004</v>
      </c>
      <c r="H451" s="469" t="s">
        <v>316</v>
      </c>
      <c r="I451" s="469" t="s">
        <v>3260</v>
      </c>
      <c r="J451" s="247" t="s">
        <v>97</v>
      </c>
      <c r="K451" s="247" t="s">
        <v>1133</v>
      </c>
      <c r="L451" s="247" t="s">
        <v>154</v>
      </c>
      <c r="M451" s="335"/>
      <c r="N451" s="335"/>
      <c r="O451" s="335"/>
      <c r="P451" s="424"/>
      <c r="Q451" s="424"/>
      <c r="R451" s="424"/>
      <c r="S451" s="424"/>
      <c r="T451" s="424"/>
      <c r="U451" s="424"/>
      <c r="V451" s="424"/>
      <c r="W451" s="424"/>
      <c r="X451" s="424"/>
      <c r="Y451" s="424"/>
      <c r="Z451" s="424"/>
      <c r="AA451" s="424"/>
      <c r="AB451" s="424"/>
      <c r="AC451" s="424"/>
      <c r="AD451" s="424"/>
      <c r="AE451" s="424"/>
      <c r="AF451" s="424"/>
      <c r="AG451" s="424"/>
      <c r="AH451" s="424"/>
      <c r="AI451" s="424"/>
      <c r="AJ451" s="424"/>
      <c r="AK451" s="424"/>
      <c r="AL451" s="424"/>
      <c r="AM451" s="424"/>
      <c r="AN451" s="424"/>
      <c r="AO451" s="424"/>
      <c r="AP451" s="424"/>
      <c r="AQ451" s="424"/>
      <c r="AR451" s="424"/>
      <c r="AS451" s="424"/>
      <c r="AT451" s="424"/>
      <c r="AU451" s="424"/>
      <c r="AV451" s="424"/>
      <c r="AW451" s="424"/>
      <c r="AX451" s="424"/>
      <c r="AY451" s="424"/>
    </row>
    <row r="452" spans="1:51" s="331" customFormat="1">
      <c r="A452" s="476">
        <v>45916</v>
      </c>
      <c r="B452" s="469" t="s">
        <v>3244</v>
      </c>
      <c r="C452" s="469" t="s">
        <v>173</v>
      </c>
      <c r="D452" s="469" t="s">
        <v>120</v>
      </c>
      <c r="E452" s="469">
        <v>1500</v>
      </c>
      <c r="F452" s="463">
        <f t="shared" si="8"/>
        <v>2.8116055579818666</v>
      </c>
      <c r="G452" s="464">
        <v>533.50300000000004</v>
      </c>
      <c r="H452" s="469" t="s">
        <v>316</v>
      </c>
      <c r="I452" s="469" t="s">
        <v>3260</v>
      </c>
      <c r="J452" s="247" t="s">
        <v>97</v>
      </c>
      <c r="K452" s="247" t="s">
        <v>1133</v>
      </c>
      <c r="L452" s="247" t="s">
        <v>154</v>
      </c>
      <c r="M452" s="335"/>
      <c r="N452" s="335"/>
      <c r="O452" s="335"/>
      <c r="P452" s="424"/>
      <c r="Q452" s="424"/>
      <c r="R452" s="424"/>
      <c r="S452" s="424"/>
      <c r="T452" s="424"/>
      <c r="U452" s="424"/>
      <c r="V452" s="424"/>
      <c r="W452" s="424"/>
      <c r="X452" s="424"/>
      <c r="Y452" s="424"/>
      <c r="Z452" s="424"/>
      <c r="AA452" s="424"/>
      <c r="AB452" s="424"/>
      <c r="AC452" s="424"/>
      <c r="AD452" s="424"/>
      <c r="AE452" s="424"/>
      <c r="AF452" s="424"/>
      <c r="AG452" s="424"/>
      <c r="AH452" s="424"/>
      <c r="AI452" s="424"/>
      <c r="AJ452" s="424"/>
      <c r="AK452" s="424"/>
      <c r="AL452" s="424"/>
      <c r="AM452" s="424"/>
      <c r="AN452" s="424"/>
      <c r="AO452" s="424"/>
      <c r="AP452" s="424"/>
      <c r="AQ452" s="424"/>
      <c r="AR452" s="424"/>
      <c r="AS452" s="424"/>
      <c r="AT452" s="424"/>
      <c r="AU452" s="424"/>
      <c r="AV452" s="424"/>
      <c r="AW452" s="424"/>
      <c r="AX452" s="424"/>
      <c r="AY452" s="424"/>
    </row>
    <row r="453" spans="1:51" s="331" customFormat="1">
      <c r="A453" s="476">
        <v>45916</v>
      </c>
      <c r="B453" s="469" t="s">
        <v>3245</v>
      </c>
      <c r="C453" s="469" t="s">
        <v>173</v>
      </c>
      <c r="D453" s="469" t="s">
        <v>120</v>
      </c>
      <c r="E453" s="469">
        <v>1500</v>
      </c>
      <c r="F453" s="463">
        <f t="shared" si="8"/>
        <v>2.8116055579818666</v>
      </c>
      <c r="G453" s="464">
        <v>533.50300000000004</v>
      </c>
      <c r="H453" s="469" t="s">
        <v>316</v>
      </c>
      <c r="I453" s="469" t="s">
        <v>3260</v>
      </c>
      <c r="J453" s="247" t="s">
        <v>97</v>
      </c>
      <c r="K453" s="247" t="s">
        <v>1133</v>
      </c>
      <c r="L453" s="247" t="s">
        <v>154</v>
      </c>
      <c r="M453" s="335"/>
      <c r="N453" s="335"/>
      <c r="O453" s="335"/>
      <c r="P453" s="424"/>
      <c r="Q453" s="424"/>
      <c r="R453" s="424"/>
      <c r="S453" s="424"/>
      <c r="T453" s="424"/>
      <c r="U453" s="424"/>
      <c r="V453" s="424"/>
      <c r="W453" s="424"/>
      <c r="X453" s="424"/>
      <c r="Y453" s="424"/>
      <c r="Z453" s="424"/>
      <c r="AA453" s="424"/>
      <c r="AB453" s="424"/>
      <c r="AC453" s="424"/>
      <c r="AD453" s="424"/>
      <c r="AE453" s="424"/>
      <c r="AF453" s="424"/>
      <c r="AG453" s="424"/>
      <c r="AH453" s="424"/>
      <c r="AI453" s="424"/>
      <c r="AJ453" s="424"/>
      <c r="AK453" s="424"/>
      <c r="AL453" s="424"/>
      <c r="AM453" s="424"/>
      <c r="AN453" s="424"/>
      <c r="AO453" s="424"/>
      <c r="AP453" s="424"/>
      <c r="AQ453" s="424"/>
      <c r="AR453" s="424"/>
      <c r="AS453" s="424"/>
      <c r="AT453" s="424"/>
      <c r="AU453" s="424"/>
      <c r="AV453" s="424"/>
      <c r="AW453" s="424"/>
      <c r="AX453" s="424"/>
      <c r="AY453" s="424"/>
    </row>
    <row r="454" spans="1:51" s="331" customFormat="1">
      <c r="A454" s="476">
        <v>45916</v>
      </c>
      <c r="B454" s="469" t="s">
        <v>3246</v>
      </c>
      <c r="C454" s="469" t="s">
        <v>173</v>
      </c>
      <c r="D454" s="469" t="s">
        <v>120</v>
      </c>
      <c r="E454" s="469">
        <v>2000</v>
      </c>
      <c r="F454" s="463">
        <f t="shared" si="8"/>
        <v>3.7488074106424891</v>
      </c>
      <c r="G454" s="464">
        <v>533.50300000000004</v>
      </c>
      <c r="H454" s="469" t="s">
        <v>316</v>
      </c>
      <c r="I454" s="469" t="s">
        <v>3260</v>
      </c>
      <c r="J454" s="247" t="s">
        <v>97</v>
      </c>
      <c r="K454" s="247" t="s">
        <v>1133</v>
      </c>
      <c r="L454" s="247" t="s">
        <v>154</v>
      </c>
      <c r="M454" s="335"/>
      <c r="N454" s="335"/>
      <c r="O454" s="335"/>
      <c r="P454" s="424"/>
      <c r="Q454" s="424"/>
      <c r="R454" s="424"/>
      <c r="S454" s="424"/>
      <c r="T454" s="424"/>
      <c r="U454" s="424"/>
      <c r="V454" s="424"/>
      <c r="W454" s="424"/>
      <c r="X454" s="424"/>
      <c r="Y454" s="424"/>
      <c r="Z454" s="424"/>
      <c r="AA454" s="424"/>
      <c r="AB454" s="424"/>
      <c r="AC454" s="424"/>
      <c r="AD454" s="424"/>
      <c r="AE454" s="424"/>
      <c r="AF454" s="424"/>
      <c r="AG454" s="424"/>
      <c r="AH454" s="424"/>
      <c r="AI454" s="424"/>
      <c r="AJ454" s="424"/>
      <c r="AK454" s="424"/>
      <c r="AL454" s="424"/>
      <c r="AM454" s="424"/>
      <c r="AN454" s="424"/>
      <c r="AO454" s="424"/>
      <c r="AP454" s="424"/>
      <c r="AQ454" s="424"/>
      <c r="AR454" s="424"/>
      <c r="AS454" s="424"/>
      <c r="AT454" s="424"/>
      <c r="AU454" s="424"/>
      <c r="AV454" s="424"/>
      <c r="AW454" s="424"/>
      <c r="AX454" s="424"/>
      <c r="AY454" s="424"/>
    </row>
    <row r="455" spans="1:51" s="331" customFormat="1">
      <c r="A455" s="476">
        <v>45916</v>
      </c>
      <c r="B455" s="469" t="s">
        <v>3283</v>
      </c>
      <c r="C455" s="469" t="s">
        <v>173</v>
      </c>
      <c r="D455" s="469" t="s">
        <v>120</v>
      </c>
      <c r="E455" s="472">
        <v>1000</v>
      </c>
      <c r="F455" s="463">
        <f t="shared" si="8"/>
        <v>1.8744037053212446</v>
      </c>
      <c r="G455" s="464">
        <v>533.50300000000004</v>
      </c>
      <c r="H455" s="469" t="s">
        <v>322</v>
      </c>
      <c r="I455" s="469" t="s">
        <v>3301</v>
      </c>
      <c r="J455" s="247" t="s">
        <v>97</v>
      </c>
      <c r="K455" s="247" t="s">
        <v>1133</v>
      </c>
      <c r="L455" s="247" t="s">
        <v>154</v>
      </c>
      <c r="M455" s="335"/>
      <c r="N455" s="335"/>
      <c r="O455" s="335"/>
      <c r="P455" s="424"/>
      <c r="Q455" s="424"/>
      <c r="R455" s="424"/>
      <c r="S455" s="424"/>
      <c r="T455" s="424"/>
      <c r="U455" s="424"/>
      <c r="V455" s="424"/>
      <c r="W455" s="424"/>
      <c r="X455" s="424"/>
      <c r="Y455" s="424"/>
      <c r="Z455" s="424"/>
      <c r="AA455" s="424"/>
      <c r="AB455" s="424"/>
      <c r="AC455" s="424"/>
      <c r="AD455" s="424"/>
      <c r="AE455" s="424"/>
      <c r="AF455" s="424"/>
      <c r="AG455" s="424"/>
      <c r="AH455" s="424"/>
      <c r="AI455" s="424"/>
      <c r="AJ455" s="424"/>
      <c r="AK455" s="424"/>
      <c r="AL455" s="424"/>
      <c r="AM455" s="424"/>
      <c r="AN455" s="424"/>
      <c r="AO455" s="424"/>
      <c r="AP455" s="424"/>
      <c r="AQ455" s="424"/>
      <c r="AR455" s="424"/>
      <c r="AS455" s="424"/>
      <c r="AT455" s="424"/>
      <c r="AU455" s="424"/>
      <c r="AV455" s="424"/>
      <c r="AW455" s="424"/>
      <c r="AX455" s="424"/>
      <c r="AY455" s="424"/>
    </row>
    <row r="456" spans="1:51" s="331" customFormat="1">
      <c r="A456" s="476">
        <v>45916</v>
      </c>
      <c r="B456" s="469" t="s">
        <v>3284</v>
      </c>
      <c r="C456" s="469" t="s">
        <v>173</v>
      </c>
      <c r="D456" s="469" t="s">
        <v>120</v>
      </c>
      <c r="E456" s="472">
        <v>1000</v>
      </c>
      <c r="F456" s="463">
        <f t="shared" si="8"/>
        <v>1.8744037053212446</v>
      </c>
      <c r="G456" s="464">
        <v>533.50300000000004</v>
      </c>
      <c r="H456" s="469" t="s">
        <v>322</v>
      </c>
      <c r="I456" s="469" t="s">
        <v>3301</v>
      </c>
      <c r="J456" s="247" t="s">
        <v>97</v>
      </c>
      <c r="K456" s="247" t="s">
        <v>1133</v>
      </c>
      <c r="L456" s="247" t="s">
        <v>154</v>
      </c>
      <c r="M456" s="335"/>
      <c r="N456" s="335"/>
      <c r="O456" s="335"/>
      <c r="P456" s="424"/>
      <c r="Q456" s="424"/>
      <c r="R456" s="424"/>
      <c r="S456" s="424"/>
      <c r="T456" s="424"/>
      <c r="U456" s="424"/>
      <c r="V456" s="424"/>
      <c r="W456" s="424"/>
      <c r="X456" s="424"/>
      <c r="Y456" s="424"/>
      <c r="Z456" s="424"/>
      <c r="AA456" s="424"/>
      <c r="AB456" s="424"/>
      <c r="AC456" s="424"/>
      <c r="AD456" s="424"/>
      <c r="AE456" s="424"/>
      <c r="AF456" s="424"/>
      <c r="AG456" s="424"/>
      <c r="AH456" s="424"/>
      <c r="AI456" s="424"/>
      <c r="AJ456" s="424"/>
      <c r="AK456" s="424"/>
      <c r="AL456" s="424"/>
      <c r="AM456" s="424"/>
      <c r="AN456" s="424"/>
      <c r="AO456" s="424"/>
      <c r="AP456" s="424"/>
      <c r="AQ456" s="424"/>
      <c r="AR456" s="424"/>
      <c r="AS456" s="424"/>
      <c r="AT456" s="424"/>
      <c r="AU456" s="424"/>
      <c r="AV456" s="424"/>
      <c r="AW456" s="424"/>
      <c r="AX456" s="424"/>
      <c r="AY456" s="424"/>
    </row>
    <row r="457" spans="1:51" s="331" customFormat="1">
      <c r="A457" s="476">
        <v>45916</v>
      </c>
      <c r="B457" s="469" t="s">
        <v>3285</v>
      </c>
      <c r="C457" s="469" t="s">
        <v>173</v>
      </c>
      <c r="D457" s="469" t="s">
        <v>120</v>
      </c>
      <c r="E457" s="472">
        <v>1000</v>
      </c>
      <c r="F457" s="463">
        <f t="shared" si="8"/>
        <v>1.8744037053212446</v>
      </c>
      <c r="G457" s="464">
        <v>533.50300000000004</v>
      </c>
      <c r="H457" s="469" t="s">
        <v>322</v>
      </c>
      <c r="I457" s="469" t="s">
        <v>3301</v>
      </c>
      <c r="J457" s="247" t="s">
        <v>97</v>
      </c>
      <c r="K457" s="247" t="s">
        <v>1133</v>
      </c>
      <c r="L457" s="247" t="s">
        <v>154</v>
      </c>
      <c r="M457" s="335"/>
      <c r="N457" s="335"/>
      <c r="O457" s="335"/>
      <c r="P457" s="424"/>
      <c r="Q457" s="424"/>
      <c r="R457" s="424"/>
      <c r="S457" s="424"/>
      <c r="T457" s="424"/>
      <c r="U457" s="424"/>
      <c r="V457" s="424"/>
      <c r="W457" s="424"/>
      <c r="X457" s="424"/>
      <c r="Y457" s="424"/>
      <c r="Z457" s="424"/>
      <c r="AA457" s="424"/>
      <c r="AB457" s="424"/>
      <c r="AC457" s="424"/>
      <c r="AD457" s="424"/>
      <c r="AE457" s="424"/>
      <c r="AF457" s="424"/>
      <c r="AG457" s="424"/>
      <c r="AH457" s="424"/>
      <c r="AI457" s="424"/>
      <c r="AJ457" s="424"/>
      <c r="AK457" s="424"/>
      <c r="AL457" s="424"/>
      <c r="AM457" s="424"/>
      <c r="AN457" s="424"/>
      <c r="AO457" s="424"/>
      <c r="AP457" s="424"/>
      <c r="AQ457" s="424"/>
      <c r="AR457" s="424"/>
      <c r="AS457" s="424"/>
      <c r="AT457" s="424"/>
      <c r="AU457" s="424"/>
      <c r="AV457" s="424"/>
      <c r="AW457" s="424"/>
      <c r="AX457" s="424"/>
      <c r="AY457" s="424"/>
    </row>
    <row r="458" spans="1:51" s="331" customFormat="1">
      <c r="A458" s="476">
        <v>45916</v>
      </c>
      <c r="B458" s="469" t="s">
        <v>3495</v>
      </c>
      <c r="C458" s="469" t="s">
        <v>173</v>
      </c>
      <c r="D458" s="469" t="s">
        <v>116</v>
      </c>
      <c r="E458" s="469">
        <v>1500</v>
      </c>
      <c r="F458" s="463">
        <f t="shared" si="8"/>
        <v>2.8116055579818666</v>
      </c>
      <c r="G458" s="464">
        <v>533.50300000000004</v>
      </c>
      <c r="H458" s="469" t="s">
        <v>186</v>
      </c>
      <c r="I458" s="469" t="s">
        <v>3504</v>
      </c>
      <c r="J458" s="247" t="s">
        <v>97</v>
      </c>
      <c r="K458" s="247" t="s">
        <v>1133</v>
      </c>
      <c r="L458" s="247" t="s">
        <v>154</v>
      </c>
      <c r="M458" s="414"/>
      <c r="N458" s="76"/>
      <c r="O458" s="76"/>
      <c r="P458" s="424"/>
      <c r="Q458" s="424"/>
      <c r="R458" s="424"/>
      <c r="S458" s="424"/>
      <c r="T458" s="424"/>
      <c r="U458" s="424"/>
      <c r="V458" s="424"/>
      <c r="W458" s="424"/>
      <c r="X458" s="424"/>
      <c r="Y458" s="424"/>
      <c r="Z458" s="424"/>
      <c r="AA458" s="424"/>
      <c r="AB458" s="424"/>
      <c r="AC458" s="424"/>
      <c r="AD458" s="424"/>
      <c r="AE458" s="424"/>
      <c r="AF458" s="424"/>
      <c r="AG458" s="424"/>
      <c r="AH458" s="424"/>
      <c r="AI458" s="424"/>
      <c r="AJ458" s="424"/>
      <c r="AK458" s="424"/>
      <c r="AL458" s="424"/>
      <c r="AM458" s="424"/>
      <c r="AN458" s="424"/>
      <c r="AO458" s="424"/>
      <c r="AP458" s="424"/>
      <c r="AQ458" s="424"/>
      <c r="AR458" s="424"/>
      <c r="AS458" s="424"/>
      <c r="AT458" s="424"/>
      <c r="AU458" s="424"/>
      <c r="AV458" s="424"/>
      <c r="AW458" s="424"/>
      <c r="AX458" s="424"/>
      <c r="AY458" s="424"/>
    </row>
    <row r="459" spans="1:51" s="331" customFormat="1">
      <c r="A459" s="476">
        <v>45916</v>
      </c>
      <c r="B459" s="469" t="s">
        <v>3496</v>
      </c>
      <c r="C459" s="469" t="s">
        <v>173</v>
      </c>
      <c r="D459" s="469" t="s">
        <v>116</v>
      </c>
      <c r="E459" s="469">
        <v>4000</v>
      </c>
      <c r="F459" s="463">
        <f t="shared" si="8"/>
        <v>7.4976148212849782</v>
      </c>
      <c r="G459" s="464">
        <v>533.50300000000004</v>
      </c>
      <c r="H459" s="469" t="s">
        <v>186</v>
      </c>
      <c r="I459" s="469" t="s">
        <v>3504</v>
      </c>
      <c r="J459" s="247" t="s">
        <v>97</v>
      </c>
      <c r="K459" s="247" t="s">
        <v>1133</v>
      </c>
      <c r="L459" s="247" t="s">
        <v>154</v>
      </c>
      <c r="M459" s="414"/>
      <c r="N459" s="76"/>
      <c r="O459" s="76"/>
      <c r="P459" s="424"/>
      <c r="Q459" s="424"/>
      <c r="R459" s="424"/>
      <c r="S459" s="424"/>
      <c r="T459" s="424"/>
      <c r="U459" s="424"/>
      <c r="V459" s="424"/>
      <c r="W459" s="424"/>
      <c r="X459" s="424"/>
      <c r="Y459" s="424"/>
      <c r="Z459" s="424"/>
      <c r="AA459" s="424"/>
      <c r="AB459" s="424"/>
      <c r="AC459" s="424"/>
      <c r="AD459" s="424"/>
      <c r="AE459" s="424"/>
      <c r="AF459" s="424"/>
      <c r="AG459" s="424"/>
      <c r="AH459" s="424"/>
      <c r="AI459" s="424"/>
      <c r="AJ459" s="424"/>
      <c r="AK459" s="424"/>
      <c r="AL459" s="424"/>
      <c r="AM459" s="424"/>
      <c r="AN459" s="424"/>
      <c r="AO459" s="424"/>
      <c r="AP459" s="424"/>
      <c r="AQ459" s="424"/>
      <c r="AR459" s="424"/>
      <c r="AS459" s="424"/>
      <c r="AT459" s="424"/>
      <c r="AU459" s="424"/>
      <c r="AV459" s="424"/>
      <c r="AW459" s="424"/>
      <c r="AX459" s="424"/>
      <c r="AY459" s="424"/>
    </row>
    <row r="460" spans="1:51" s="331" customFormat="1">
      <c r="A460" s="476">
        <v>45916</v>
      </c>
      <c r="B460" s="484" t="s">
        <v>3584</v>
      </c>
      <c r="C460" s="469" t="s">
        <v>122</v>
      </c>
      <c r="D460" s="469" t="s">
        <v>116</v>
      </c>
      <c r="E460" s="470">
        <v>200000</v>
      </c>
      <c r="F460" s="463">
        <f t="shared" si="8"/>
        <v>356.54310071272965</v>
      </c>
      <c r="G460" s="464">
        <v>560.94200000000001</v>
      </c>
      <c r="H460" s="247" t="s">
        <v>147</v>
      </c>
      <c r="I460" s="469" t="s">
        <v>3599</v>
      </c>
      <c r="J460" s="247" t="s">
        <v>97</v>
      </c>
      <c r="K460" s="247" t="s">
        <v>1903</v>
      </c>
      <c r="L460" s="247" t="s">
        <v>154</v>
      </c>
      <c r="M460" s="414"/>
      <c r="N460" s="76"/>
      <c r="O460" s="76"/>
      <c r="P460" s="424"/>
      <c r="Q460" s="424"/>
      <c r="R460" s="424"/>
      <c r="S460" s="424"/>
      <c r="T460" s="424"/>
      <c r="U460" s="424"/>
      <c r="V460" s="424"/>
      <c r="W460" s="424"/>
      <c r="X460" s="424"/>
      <c r="Y460" s="424"/>
      <c r="Z460" s="424"/>
      <c r="AA460" s="424"/>
      <c r="AB460" s="424"/>
      <c r="AC460" s="424"/>
      <c r="AD460" s="424"/>
      <c r="AE460" s="424"/>
      <c r="AF460" s="424"/>
      <c r="AG460" s="424"/>
      <c r="AH460" s="424"/>
      <c r="AI460" s="424"/>
      <c r="AJ460" s="424"/>
      <c r="AK460" s="424"/>
      <c r="AL460" s="424"/>
      <c r="AM460" s="424"/>
      <c r="AN460" s="424"/>
      <c r="AO460" s="424"/>
      <c r="AP460" s="424"/>
      <c r="AQ460" s="424"/>
      <c r="AR460" s="424"/>
      <c r="AS460" s="424"/>
      <c r="AT460" s="424"/>
      <c r="AU460" s="424"/>
      <c r="AV460" s="424"/>
      <c r="AW460" s="424"/>
      <c r="AX460" s="424"/>
      <c r="AY460" s="424"/>
    </row>
    <row r="461" spans="1:51" s="331" customFormat="1">
      <c r="A461" s="476">
        <v>45917</v>
      </c>
      <c r="B461" s="469" t="s">
        <v>2857</v>
      </c>
      <c r="C461" s="462" t="s">
        <v>173</v>
      </c>
      <c r="D461" s="462" t="s">
        <v>118</v>
      </c>
      <c r="E461" s="359">
        <v>1000</v>
      </c>
      <c r="F461" s="463">
        <f t="shared" si="8"/>
        <v>1.8744037053212446</v>
      </c>
      <c r="G461" s="464">
        <v>533.50300000000004</v>
      </c>
      <c r="H461" s="465" t="s">
        <v>152</v>
      </c>
      <c r="I461" s="469" t="s">
        <v>2868</v>
      </c>
      <c r="J461" s="247" t="s">
        <v>97</v>
      </c>
      <c r="K461" s="247" t="s">
        <v>1133</v>
      </c>
      <c r="L461" s="247" t="s">
        <v>154</v>
      </c>
      <c r="M461" s="335"/>
      <c r="N461" s="335"/>
      <c r="O461" s="335"/>
      <c r="P461" s="424"/>
      <c r="Q461" s="424"/>
      <c r="R461" s="424"/>
      <c r="S461" s="424"/>
      <c r="T461" s="424"/>
      <c r="U461" s="424"/>
      <c r="V461" s="424"/>
      <c r="W461" s="424"/>
      <c r="X461" s="424"/>
      <c r="Y461" s="424"/>
      <c r="Z461" s="424"/>
      <c r="AA461" s="424"/>
      <c r="AB461" s="424"/>
      <c r="AC461" s="424"/>
      <c r="AD461" s="424"/>
      <c r="AE461" s="424"/>
      <c r="AF461" s="424"/>
      <c r="AG461" s="424"/>
      <c r="AH461" s="424"/>
      <c r="AI461" s="424"/>
      <c r="AJ461" s="424"/>
      <c r="AK461" s="424"/>
      <c r="AL461" s="424"/>
      <c r="AM461" s="424"/>
      <c r="AN461" s="424"/>
      <c r="AO461" s="424"/>
      <c r="AP461" s="424"/>
      <c r="AQ461" s="424"/>
      <c r="AR461" s="424"/>
      <c r="AS461" s="424"/>
      <c r="AT461" s="424"/>
      <c r="AU461" s="424"/>
      <c r="AV461" s="424"/>
      <c r="AW461" s="424"/>
      <c r="AX461" s="424"/>
      <c r="AY461" s="424"/>
    </row>
    <row r="462" spans="1:51" s="331" customFormat="1">
      <c r="A462" s="476">
        <v>45917</v>
      </c>
      <c r="B462" s="469" t="s">
        <v>2856</v>
      </c>
      <c r="C462" s="462" t="s">
        <v>173</v>
      </c>
      <c r="D462" s="462" t="s">
        <v>118</v>
      </c>
      <c r="E462" s="359">
        <v>1000</v>
      </c>
      <c r="F462" s="463">
        <f t="shared" si="8"/>
        <v>1.8744037053212446</v>
      </c>
      <c r="G462" s="464">
        <v>533.50300000000004</v>
      </c>
      <c r="H462" s="465" t="s">
        <v>152</v>
      </c>
      <c r="I462" s="469" t="s">
        <v>2868</v>
      </c>
      <c r="J462" s="247" t="s">
        <v>97</v>
      </c>
      <c r="K462" s="247" t="s">
        <v>1133</v>
      </c>
      <c r="L462" s="247" t="s">
        <v>154</v>
      </c>
      <c r="M462" s="335"/>
      <c r="N462" s="335"/>
      <c r="O462" s="335"/>
      <c r="P462" s="424"/>
      <c r="Q462" s="424"/>
      <c r="R462" s="424"/>
      <c r="S462" s="424"/>
      <c r="T462" s="424"/>
      <c r="U462" s="424"/>
      <c r="V462" s="424"/>
      <c r="W462" s="424"/>
      <c r="X462" s="424"/>
      <c r="Y462" s="424"/>
      <c r="Z462" s="424"/>
      <c r="AA462" s="424"/>
      <c r="AB462" s="424"/>
      <c r="AC462" s="424"/>
      <c r="AD462" s="424"/>
      <c r="AE462" s="424"/>
      <c r="AF462" s="424"/>
      <c r="AG462" s="424"/>
      <c r="AH462" s="424"/>
      <c r="AI462" s="424"/>
      <c r="AJ462" s="424"/>
      <c r="AK462" s="424"/>
      <c r="AL462" s="424"/>
      <c r="AM462" s="424"/>
      <c r="AN462" s="424"/>
      <c r="AO462" s="424"/>
      <c r="AP462" s="424"/>
      <c r="AQ462" s="424"/>
      <c r="AR462" s="424"/>
      <c r="AS462" s="424"/>
      <c r="AT462" s="424"/>
      <c r="AU462" s="424"/>
      <c r="AV462" s="424"/>
      <c r="AW462" s="424"/>
      <c r="AX462" s="424"/>
      <c r="AY462" s="424"/>
    </row>
    <row r="463" spans="1:51" s="331" customFormat="1">
      <c r="A463" s="476">
        <v>45917</v>
      </c>
      <c r="B463" s="359" t="s">
        <v>2858</v>
      </c>
      <c r="C463" s="462" t="s">
        <v>151</v>
      </c>
      <c r="D463" s="462" t="s">
        <v>118</v>
      </c>
      <c r="E463" s="359">
        <v>12500</v>
      </c>
      <c r="F463" s="463">
        <f t="shared" si="8"/>
        <v>23.430046316515558</v>
      </c>
      <c r="G463" s="464">
        <v>533.50300000000004</v>
      </c>
      <c r="H463" s="465" t="s">
        <v>152</v>
      </c>
      <c r="I463" s="469" t="s">
        <v>2873</v>
      </c>
      <c r="J463" s="247" t="s">
        <v>97</v>
      </c>
      <c r="K463" s="247" t="s">
        <v>1133</v>
      </c>
      <c r="L463" s="247" t="s">
        <v>154</v>
      </c>
      <c r="M463" s="335"/>
      <c r="N463" s="335"/>
      <c r="O463" s="335"/>
      <c r="P463" s="424"/>
      <c r="Q463" s="424"/>
      <c r="R463" s="424"/>
      <c r="S463" s="424"/>
      <c r="T463" s="424"/>
      <c r="U463" s="424"/>
      <c r="V463" s="424"/>
      <c r="W463" s="424"/>
      <c r="X463" s="424"/>
      <c r="Y463" s="424"/>
      <c r="Z463" s="424"/>
      <c r="AA463" s="424"/>
      <c r="AB463" s="424"/>
      <c r="AC463" s="424"/>
      <c r="AD463" s="424"/>
      <c r="AE463" s="424"/>
      <c r="AF463" s="424"/>
      <c r="AG463" s="424"/>
      <c r="AH463" s="424"/>
      <c r="AI463" s="424"/>
      <c r="AJ463" s="424"/>
      <c r="AK463" s="424"/>
      <c r="AL463" s="424"/>
      <c r="AM463" s="424"/>
      <c r="AN463" s="424"/>
      <c r="AO463" s="424"/>
      <c r="AP463" s="424"/>
      <c r="AQ463" s="424"/>
      <c r="AR463" s="424"/>
      <c r="AS463" s="424"/>
      <c r="AT463" s="424"/>
      <c r="AU463" s="424"/>
      <c r="AV463" s="424"/>
      <c r="AW463" s="424"/>
      <c r="AX463" s="424"/>
      <c r="AY463" s="424"/>
    </row>
    <row r="464" spans="1:51" s="331" customFormat="1">
      <c r="A464" s="476">
        <v>45917</v>
      </c>
      <c r="B464" s="469" t="s">
        <v>2113</v>
      </c>
      <c r="C464" s="462" t="s">
        <v>173</v>
      </c>
      <c r="D464" s="462" t="s">
        <v>118</v>
      </c>
      <c r="E464" s="359">
        <v>1000</v>
      </c>
      <c r="F464" s="463">
        <f t="shared" si="8"/>
        <v>1.8744037053212446</v>
      </c>
      <c r="G464" s="464">
        <v>533.50300000000004</v>
      </c>
      <c r="H464" s="465" t="s">
        <v>152</v>
      </c>
      <c r="I464" s="469" t="s">
        <v>2868</v>
      </c>
      <c r="J464" s="247" t="s">
        <v>97</v>
      </c>
      <c r="K464" s="247" t="s">
        <v>1133</v>
      </c>
      <c r="L464" s="247" t="s">
        <v>154</v>
      </c>
      <c r="M464" s="414"/>
      <c r="N464" s="414"/>
      <c r="O464" s="414"/>
      <c r="P464" s="424"/>
      <c r="Q464" s="424"/>
      <c r="R464" s="424"/>
      <c r="S464" s="424"/>
      <c r="T464" s="424"/>
      <c r="U464" s="424"/>
      <c r="V464" s="424"/>
      <c r="W464" s="424"/>
      <c r="X464" s="424"/>
      <c r="Y464" s="424"/>
      <c r="Z464" s="424"/>
      <c r="AA464" s="424"/>
      <c r="AB464" s="424"/>
      <c r="AC464" s="424"/>
      <c r="AD464" s="424"/>
      <c r="AE464" s="424"/>
      <c r="AF464" s="424"/>
      <c r="AG464" s="424"/>
      <c r="AH464" s="424"/>
      <c r="AI464" s="424"/>
      <c r="AJ464" s="424"/>
      <c r="AK464" s="424"/>
      <c r="AL464" s="424"/>
      <c r="AM464" s="424"/>
      <c r="AN464" s="424"/>
      <c r="AO464" s="424"/>
      <c r="AP464" s="424"/>
      <c r="AQ464" s="424"/>
      <c r="AR464" s="424"/>
      <c r="AS464" s="424"/>
      <c r="AT464" s="424"/>
      <c r="AU464" s="424"/>
      <c r="AV464" s="424"/>
      <c r="AW464" s="424"/>
      <c r="AX464" s="424"/>
      <c r="AY464" s="424"/>
    </row>
    <row r="465" spans="1:51" s="331" customFormat="1">
      <c r="A465" s="474">
        <v>45917</v>
      </c>
      <c r="B465" s="247" t="s">
        <v>2894</v>
      </c>
      <c r="C465" s="243" t="s">
        <v>151</v>
      </c>
      <c r="D465" s="243" t="s">
        <v>116</v>
      </c>
      <c r="E465" s="475">
        <v>10000</v>
      </c>
      <c r="F465" s="463">
        <f t="shared" si="8"/>
        <v>18.744037053212445</v>
      </c>
      <c r="G465" s="464">
        <v>533.50300000000004</v>
      </c>
      <c r="H465" s="339" t="s">
        <v>1508</v>
      </c>
      <c r="I465" s="216" t="s">
        <v>2922</v>
      </c>
      <c r="J465" s="247" t="s">
        <v>97</v>
      </c>
      <c r="K465" s="247" t="s">
        <v>1133</v>
      </c>
      <c r="L465" s="247" t="s">
        <v>154</v>
      </c>
      <c r="M465" s="414"/>
      <c r="N465" s="414"/>
      <c r="O465" s="414"/>
      <c r="P465" s="424"/>
      <c r="Q465" s="424"/>
      <c r="R465" s="424"/>
      <c r="S465" s="424"/>
      <c r="T465" s="424"/>
      <c r="U465" s="424"/>
      <c r="V465" s="424"/>
      <c r="W465" s="424"/>
      <c r="X465" s="424"/>
      <c r="Y465" s="424"/>
      <c r="Z465" s="424"/>
      <c r="AA465" s="424"/>
      <c r="AB465" s="424"/>
      <c r="AC465" s="424"/>
      <c r="AD465" s="424"/>
      <c r="AE465" s="424"/>
      <c r="AF465" s="424"/>
      <c r="AG465" s="424"/>
      <c r="AH465" s="424"/>
      <c r="AI465" s="424"/>
      <c r="AJ465" s="424"/>
      <c r="AK465" s="424"/>
      <c r="AL465" s="424"/>
      <c r="AM465" s="424"/>
      <c r="AN465" s="424"/>
      <c r="AO465" s="424"/>
      <c r="AP465" s="424"/>
      <c r="AQ465" s="424"/>
      <c r="AR465" s="424"/>
      <c r="AS465" s="424"/>
      <c r="AT465" s="424"/>
      <c r="AU465" s="424"/>
      <c r="AV465" s="424"/>
      <c r="AW465" s="424"/>
      <c r="AX465" s="424"/>
      <c r="AY465" s="424"/>
    </row>
    <row r="466" spans="1:51" s="331" customFormat="1">
      <c r="A466" s="471">
        <v>45917</v>
      </c>
      <c r="B466" s="247" t="s">
        <v>2895</v>
      </c>
      <c r="C466" s="469" t="s">
        <v>264</v>
      </c>
      <c r="D466" s="469" t="s">
        <v>2414</v>
      </c>
      <c r="E466" s="475">
        <v>35000</v>
      </c>
      <c r="F466" s="463">
        <f t="shared" si="8"/>
        <v>62.395042624727687</v>
      </c>
      <c r="G466" s="464">
        <v>560.94200000000001</v>
      </c>
      <c r="H466" s="339" t="s">
        <v>1508</v>
      </c>
      <c r="I466" s="247" t="s">
        <v>2923</v>
      </c>
      <c r="J466" s="247" t="s">
        <v>97</v>
      </c>
      <c r="K466" s="247" t="s">
        <v>1903</v>
      </c>
      <c r="L466" s="247" t="s">
        <v>154</v>
      </c>
      <c r="M466" s="414"/>
      <c r="N466" s="414"/>
      <c r="O466" s="414"/>
      <c r="P466" s="424"/>
      <c r="Q466" s="424"/>
      <c r="R466" s="424"/>
      <c r="S466" s="424"/>
      <c r="T466" s="424"/>
      <c r="U466" s="424"/>
      <c r="V466" s="424"/>
      <c r="W466" s="424"/>
      <c r="X466" s="424"/>
      <c r="Y466" s="424"/>
      <c r="Z466" s="424"/>
      <c r="AA466" s="424"/>
      <c r="AB466" s="424"/>
      <c r="AC466" s="424"/>
      <c r="AD466" s="424"/>
      <c r="AE466" s="424"/>
      <c r="AF466" s="424"/>
      <c r="AG466" s="424"/>
      <c r="AH466" s="424"/>
      <c r="AI466" s="424"/>
      <c r="AJ466" s="424"/>
      <c r="AK466" s="424"/>
      <c r="AL466" s="424"/>
      <c r="AM466" s="424"/>
      <c r="AN466" s="424"/>
      <c r="AO466" s="424"/>
      <c r="AP466" s="424"/>
      <c r="AQ466" s="424"/>
      <c r="AR466" s="424"/>
      <c r="AS466" s="424"/>
      <c r="AT466" s="424"/>
      <c r="AU466" s="424"/>
      <c r="AV466" s="424"/>
      <c r="AW466" s="424"/>
      <c r="AX466" s="424"/>
      <c r="AY466" s="424"/>
    </row>
    <row r="467" spans="1:51" s="331" customFormat="1">
      <c r="A467" s="467">
        <v>45917</v>
      </c>
      <c r="B467" s="469" t="s">
        <v>2943</v>
      </c>
      <c r="C467" s="469" t="s">
        <v>173</v>
      </c>
      <c r="D467" s="469" t="s">
        <v>117</v>
      </c>
      <c r="E467" s="470">
        <v>1000</v>
      </c>
      <c r="F467" s="463">
        <f t="shared" si="8"/>
        <v>1.8744037053212446</v>
      </c>
      <c r="G467" s="464">
        <v>533.50300000000004</v>
      </c>
      <c r="H467" s="469" t="s">
        <v>583</v>
      </c>
      <c r="I467" s="469" t="s">
        <v>2970</v>
      </c>
      <c r="J467" s="247" t="s">
        <v>97</v>
      </c>
      <c r="K467" s="247" t="s">
        <v>1133</v>
      </c>
      <c r="L467" s="247" t="s">
        <v>154</v>
      </c>
      <c r="M467" s="414"/>
      <c r="N467" s="414"/>
      <c r="O467" s="414"/>
      <c r="P467" s="424"/>
      <c r="Q467" s="424"/>
      <c r="R467" s="424"/>
      <c r="S467" s="424"/>
      <c r="T467" s="424"/>
      <c r="U467" s="424"/>
      <c r="V467" s="424"/>
      <c r="W467" s="424"/>
      <c r="X467" s="424"/>
      <c r="Y467" s="424"/>
      <c r="Z467" s="424"/>
      <c r="AA467" s="424"/>
      <c r="AB467" s="424"/>
      <c r="AC467" s="424"/>
      <c r="AD467" s="424"/>
      <c r="AE467" s="424"/>
      <c r="AF467" s="424"/>
      <c r="AG467" s="424"/>
      <c r="AH467" s="424"/>
      <c r="AI467" s="424"/>
      <c r="AJ467" s="424"/>
      <c r="AK467" s="424"/>
      <c r="AL467" s="424"/>
      <c r="AM467" s="424"/>
      <c r="AN467" s="424"/>
      <c r="AO467" s="424"/>
      <c r="AP467" s="424"/>
      <c r="AQ467" s="424"/>
      <c r="AR467" s="424"/>
      <c r="AS467" s="424"/>
      <c r="AT467" s="424"/>
      <c r="AU467" s="424"/>
      <c r="AV467" s="424"/>
      <c r="AW467" s="424"/>
      <c r="AX467" s="424"/>
      <c r="AY467" s="424"/>
    </row>
    <row r="468" spans="1:51" s="331" customFormat="1">
      <c r="A468" s="467">
        <v>45917</v>
      </c>
      <c r="B468" s="469" t="s">
        <v>2930</v>
      </c>
      <c r="C468" s="469" t="s">
        <v>173</v>
      </c>
      <c r="D468" s="469" t="s">
        <v>117</v>
      </c>
      <c r="E468" s="470">
        <v>1000</v>
      </c>
      <c r="F468" s="463">
        <f t="shared" si="8"/>
        <v>1.8744037053212446</v>
      </c>
      <c r="G468" s="464">
        <v>533.50300000000004</v>
      </c>
      <c r="H468" s="469" t="s">
        <v>583</v>
      </c>
      <c r="I468" s="469" t="s">
        <v>2970</v>
      </c>
      <c r="J468" s="247" t="s">
        <v>97</v>
      </c>
      <c r="K468" s="247" t="s">
        <v>1133</v>
      </c>
      <c r="L468" s="247" t="s">
        <v>154</v>
      </c>
      <c r="M468" s="414"/>
      <c r="N468" s="414"/>
      <c r="O468" s="414"/>
      <c r="P468" s="424"/>
      <c r="Q468" s="424"/>
      <c r="R468" s="424"/>
      <c r="S468" s="424"/>
      <c r="T468" s="424"/>
      <c r="U468" s="424"/>
      <c r="V468" s="424"/>
      <c r="W468" s="424"/>
      <c r="X468" s="424"/>
      <c r="Y468" s="424"/>
      <c r="Z468" s="424"/>
      <c r="AA468" s="424"/>
      <c r="AB468" s="424"/>
      <c r="AC468" s="424"/>
      <c r="AD468" s="424"/>
      <c r="AE468" s="424"/>
      <c r="AF468" s="424"/>
      <c r="AG468" s="424"/>
      <c r="AH468" s="424"/>
      <c r="AI468" s="424"/>
      <c r="AJ468" s="424"/>
      <c r="AK468" s="424"/>
      <c r="AL468" s="424"/>
      <c r="AM468" s="424"/>
      <c r="AN468" s="424"/>
      <c r="AO468" s="424"/>
      <c r="AP468" s="424"/>
      <c r="AQ468" s="424"/>
      <c r="AR468" s="424"/>
      <c r="AS468" s="424"/>
      <c r="AT468" s="424"/>
      <c r="AU468" s="424"/>
      <c r="AV468" s="424"/>
      <c r="AW468" s="424"/>
      <c r="AX468" s="424"/>
      <c r="AY468" s="424"/>
    </row>
    <row r="469" spans="1:51" s="424" customFormat="1">
      <c r="A469" s="467">
        <v>45917</v>
      </c>
      <c r="B469" s="469" t="s">
        <v>2944</v>
      </c>
      <c r="C469" s="472" t="s">
        <v>151</v>
      </c>
      <c r="D469" s="469" t="s">
        <v>118</v>
      </c>
      <c r="E469" s="470">
        <v>7500</v>
      </c>
      <c r="F469" s="463">
        <f t="shared" si="8"/>
        <v>14.058027789909334</v>
      </c>
      <c r="G469" s="464">
        <v>533.50300000000004</v>
      </c>
      <c r="H469" s="469" t="s">
        <v>583</v>
      </c>
      <c r="I469" s="469" t="s">
        <v>2977</v>
      </c>
      <c r="J469" s="247" t="s">
        <v>97</v>
      </c>
      <c r="K469" s="247" t="s">
        <v>1133</v>
      </c>
      <c r="L469" s="247" t="s">
        <v>154</v>
      </c>
      <c r="M469" s="414"/>
      <c r="N469" s="414"/>
      <c r="O469" s="414"/>
    </row>
    <row r="470" spans="1:51" s="331" customFormat="1">
      <c r="A470" s="474">
        <v>45917</v>
      </c>
      <c r="B470" s="475" t="s">
        <v>3059</v>
      </c>
      <c r="C470" s="475" t="s">
        <v>173</v>
      </c>
      <c r="D470" s="475" t="s">
        <v>120</v>
      </c>
      <c r="E470" s="475">
        <v>1000</v>
      </c>
      <c r="F470" s="463">
        <f t="shared" si="8"/>
        <v>1.8744037053212446</v>
      </c>
      <c r="G470" s="464">
        <v>533.50300000000004</v>
      </c>
      <c r="H470" s="475" t="s">
        <v>183</v>
      </c>
      <c r="I470" s="475" t="s">
        <v>3086</v>
      </c>
      <c r="J470" s="247" t="s">
        <v>97</v>
      </c>
      <c r="K470" s="247" t="s">
        <v>1133</v>
      </c>
      <c r="L470" s="247" t="s">
        <v>154</v>
      </c>
      <c r="M470" s="414"/>
      <c r="N470" s="414"/>
      <c r="O470" s="414"/>
      <c r="P470" s="424"/>
      <c r="Q470" s="424"/>
      <c r="R470" s="424"/>
      <c r="S470" s="424"/>
      <c r="T470" s="424"/>
      <c r="U470" s="424"/>
      <c r="V470" s="424"/>
      <c r="W470" s="424"/>
      <c r="X470" s="424"/>
      <c r="Y470" s="424"/>
      <c r="Z470" s="424"/>
      <c r="AA470" s="424"/>
      <c r="AB470" s="424"/>
      <c r="AC470" s="424"/>
      <c r="AD470" s="424"/>
      <c r="AE470" s="424"/>
      <c r="AF470" s="424"/>
      <c r="AG470" s="424"/>
      <c r="AH470" s="424"/>
      <c r="AI470" s="424"/>
      <c r="AJ470" s="424"/>
      <c r="AK470" s="424"/>
      <c r="AL470" s="424"/>
      <c r="AM470" s="424"/>
      <c r="AN470" s="424"/>
      <c r="AO470" s="424"/>
      <c r="AP470" s="424"/>
      <c r="AQ470" s="424"/>
      <c r="AR470" s="424"/>
      <c r="AS470" s="424"/>
      <c r="AT470" s="424"/>
      <c r="AU470" s="424"/>
      <c r="AV470" s="424"/>
      <c r="AW470" s="424"/>
      <c r="AX470" s="424"/>
      <c r="AY470" s="424"/>
    </row>
    <row r="471" spans="1:51" s="331" customFormat="1">
      <c r="A471" s="474">
        <v>45917</v>
      </c>
      <c r="B471" s="475" t="s">
        <v>3040</v>
      </c>
      <c r="C471" s="475" t="s">
        <v>173</v>
      </c>
      <c r="D471" s="475" t="s">
        <v>120</v>
      </c>
      <c r="E471" s="475">
        <v>1000</v>
      </c>
      <c r="F471" s="463">
        <f t="shared" si="8"/>
        <v>1.8744037053212446</v>
      </c>
      <c r="G471" s="464">
        <v>533.50300000000004</v>
      </c>
      <c r="H471" s="475" t="s">
        <v>183</v>
      </c>
      <c r="I471" s="475" t="s">
        <v>3086</v>
      </c>
      <c r="J471" s="247" t="s">
        <v>97</v>
      </c>
      <c r="K471" s="247" t="s">
        <v>1133</v>
      </c>
      <c r="L471" s="247" t="s">
        <v>154</v>
      </c>
      <c r="M471" s="335"/>
      <c r="N471" s="335"/>
      <c r="O471" s="335"/>
      <c r="P471" s="424"/>
      <c r="Q471" s="424"/>
      <c r="R471" s="424"/>
      <c r="S471" s="424"/>
      <c r="T471" s="424"/>
      <c r="U471" s="424"/>
      <c r="V471" s="424"/>
      <c r="W471" s="424"/>
      <c r="X471" s="424"/>
      <c r="Y471" s="424"/>
      <c r="Z471" s="424"/>
      <c r="AA471" s="424"/>
      <c r="AB471" s="424"/>
      <c r="AC471" s="424"/>
      <c r="AD471" s="424"/>
      <c r="AE471" s="424"/>
      <c r="AF471" s="424"/>
      <c r="AG471" s="424"/>
      <c r="AH471" s="424"/>
      <c r="AI471" s="424"/>
      <c r="AJ471" s="424"/>
      <c r="AK471" s="424"/>
      <c r="AL471" s="424"/>
      <c r="AM471" s="424"/>
      <c r="AN471" s="424"/>
      <c r="AO471" s="424"/>
      <c r="AP471" s="424"/>
      <c r="AQ471" s="424"/>
      <c r="AR471" s="424"/>
      <c r="AS471" s="424"/>
      <c r="AT471" s="424"/>
      <c r="AU471" s="424"/>
      <c r="AV471" s="424"/>
      <c r="AW471" s="424"/>
      <c r="AX471" s="424"/>
      <c r="AY471" s="424"/>
    </row>
    <row r="472" spans="1:51" s="331" customFormat="1">
      <c r="A472" s="474">
        <v>45917</v>
      </c>
      <c r="B472" s="475" t="s">
        <v>3060</v>
      </c>
      <c r="C472" s="475" t="s">
        <v>173</v>
      </c>
      <c r="D472" s="475" t="s">
        <v>120</v>
      </c>
      <c r="E472" s="475">
        <v>1000</v>
      </c>
      <c r="F472" s="463">
        <f t="shared" si="8"/>
        <v>1.8744037053212446</v>
      </c>
      <c r="G472" s="464">
        <v>533.50300000000004</v>
      </c>
      <c r="H472" s="475" t="s">
        <v>183</v>
      </c>
      <c r="I472" s="475" t="s">
        <v>3086</v>
      </c>
      <c r="J472" s="247" t="s">
        <v>97</v>
      </c>
      <c r="K472" s="247" t="s">
        <v>1133</v>
      </c>
      <c r="L472" s="247" t="s">
        <v>154</v>
      </c>
      <c r="M472" s="335"/>
      <c r="N472" s="335"/>
      <c r="O472" s="335"/>
      <c r="P472" s="424"/>
      <c r="Q472" s="424"/>
      <c r="R472" s="424"/>
      <c r="S472" s="424"/>
      <c r="T472" s="424"/>
      <c r="U472" s="424"/>
      <c r="V472" s="424"/>
      <c r="W472" s="424"/>
      <c r="X472" s="424"/>
      <c r="Y472" s="424"/>
      <c r="Z472" s="424"/>
      <c r="AA472" s="424"/>
      <c r="AB472" s="424"/>
      <c r="AC472" s="424"/>
      <c r="AD472" s="424"/>
      <c r="AE472" s="424"/>
      <c r="AF472" s="424"/>
      <c r="AG472" s="424"/>
      <c r="AH472" s="424"/>
      <c r="AI472" s="424"/>
      <c r="AJ472" s="424"/>
      <c r="AK472" s="424"/>
      <c r="AL472" s="424"/>
      <c r="AM472" s="424"/>
      <c r="AN472" s="424"/>
      <c r="AO472" s="424"/>
      <c r="AP472" s="424"/>
      <c r="AQ472" s="424"/>
      <c r="AR472" s="424"/>
      <c r="AS472" s="424"/>
      <c r="AT472" s="424"/>
      <c r="AU472" s="424"/>
      <c r="AV472" s="424"/>
      <c r="AW472" s="424"/>
      <c r="AX472" s="424"/>
      <c r="AY472" s="424"/>
    </row>
    <row r="473" spans="1:51" s="331" customFormat="1">
      <c r="A473" s="474">
        <v>45917</v>
      </c>
      <c r="B473" s="475" t="s">
        <v>3040</v>
      </c>
      <c r="C473" s="475" t="s">
        <v>173</v>
      </c>
      <c r="D473" s="475" t="s">
        <v>120</v>
      </c>
      <c r="E473" s="475">
        <v>1000</v>
      </c>
      <c r="F473" s="463">
        <f t="shared" si="8"/>
        <v>1.8744037053212446</v>
      </c>
      <c r="G473" s="464">
        <v>533.50300000000004</v>
      </c>
      <c r="H473" s="475" t="s">
        <v>183</v>
      </c>
      <c r="I473" s="475" t="s">
        <v>3086</v>
      </c>
      <c r="J473" s="247" t="s">
        <v>97</v>
      </c>
      <c r="K473" s="247" t="s">
        <v>1133</v>
      </c>
      <c r="L473" s="247" t="s">
        <v>154</v>
      </c>
      <c r="M473" s="335"/>
      <c r="N473" s="335"/>
      <c r="O473" s="335"/>
      <c r="P473" s="424"/>
      <c r="Q473" s="424"/>
      <c r="R473" s="424"/>
      <c r="S473" s="424"/>
      <c r="T473" s="424"/>
      <c r="U473" s="424"/>
      <c r="V473" s="424"/>
      <c r="W473" s="424"/>
      <c r="X473" s="424"/>
      <c r="Y473" s="424"/>
      <c r="Z473" s="424"/>
      <c r="AA473" s="424"/>
      <c r="AB473" s="424"/>
      <c r="AC473" s="424"/>
      <c r="AD473" s="424"/>
      <c r="AE473" s="424"/>
      <c r="AF473" s="424"/>
      <c r="AG473" s="424"/>
      <c r="AH473" s="424"/>
      <c r="AI473" s="424"/>
      <c r="AJ473" s="424"/>
      <c r="AK473" s="424"/>
      <c r="AL473" s="424"/>
      <c r="AM473" s="424"/>
      <c r="AN473" s="424"/>
      <c r="AO473" s="424"/>
      <c r="AP473" s="424"/>
      <c r="AQ473" s="424"/>
      <c r="AR473" s="424"/>
      <c r="AS473" s="424"/>
      <c r="AT473" s="424"/>
      <c r="AU473" s="424"/>
      <c r="AV473" s="424"/>
      <c r="AW473" s="424"/>
      <c r="AX473" s="424"/>
      <c r="AY473" s="424"/>
    </row>
    <row r="474" spans="1:51" s="331" customFormat="1">
      <c r="A474" s="474">
        <v>45917</v>
      </c>
      <c r="B474" s="475" t="s">
        <v>3061</v>
      </c>
      <c r="C474" s="475" t="s">
        <v>173</v>
      </c>
      <c r="D474" s="475" t="s">
        <v>120</v>
      </c>
      <c r="E474" s="475">
        <v>1000</v>
      </c>
      <c r="F474" s="463">
        <f t="shared" si="8"/>
        <v>1.8744037053212446</v>
      </c>
      <c r="G474" s="464">
        <v>533.50300000000004</v>
      </c>
      <c r="H474" s="475" t="s">
        <v>183</v>
      </c>
      <c r="I474" s="475" t="s">
        <v>3086</v>
      </c>
      <c r="J474" s="247" t="s">
        <v>97</v>
      </c>
      <c r="K474" s="247" t="s">
        <v>1133</v>
      </c>
      <c r="L474" s="247" t="s">
        <v>154</v>
      </c>
      <c r="M474" s="335"/>
      <c r="N474" s="335"/>
      <c r="O474" s="335"/>
      <c r="P474" s="424"/>
      <c r="Q474" s="424"/>
      <c r="R474" s="424"/>
      <c r="S474" s="424"/>
      <c r="T474" s="424"/>
      <c r="U474" s="424"/>
      <c r="V474" s="424"/>
      <c r="W474" s="424"/>
      <c r="X474" s="424"/>
      <c r="Y474" s="424"/>
      <c r="Z474" s="424"/>
      <c r="AA474" s="424"/>
      <c r="AB474" s="424"/>
      <c r="AC474" s="424"/>
      <c r="AD474" s="424"/>
      <c r="AE474" s="424"/>
      <c r="AF474" s="424"/>
      <c r="AG474" s="424"/>
      <c r="AH474" s="424"/>
      <c r="AI474" s="424"/>
      <c r="AJ474" s="424"/>
      <c r="AK474" s="424"/>
      <c r="AL474" s="424"/>
      <c r="AM474" s="424"/>
      <c r="AN474" s="424"/>
      <c r="AO474" s="424"/>
      <c r="AP474" s="424"/>
      <c r="AQ474" s="424"/>
      <c r="AR474" s="424"/>
      <c r="AS474" s="424"/>
      <c r="AT474" s="424"/>
      <c r="AU474" s="424"/>
      <c r="AV474" s="424"/>
      <c r="AW474" s="424"/>
      <c r="AX474" s="424"/>
      <c r="AY474" s="424"/>
    </row>
    <row r="475" spans="1:51" s="331" customFormat="1">
      <c r="A475" s="474">
        <v>45917</v>
      </c>
      <c r="B475" s="475" t="s">
        <v>3062</v>
      </c>
      <c r="C475" s="475" t="s">
        <v>368</v>
      </c>
      <c r="D475" s="475" t="s">
        <v>120</v>
      </c>
      <c r="E475" s="475">
        <v>1000</v>
      </c>
      <c r="F475" s="463">
        <f t="shared" si="8"/>
        <v>1.8744037053212446</v>
      </c>
      <c r="G475" s="464">
        <v>533.50300000000004</v>
      </c>
      <c r="H475" s="475" t="s">
        <v>183</v>
      </c>
      <c r="I475" s="475" t="s">
        <v>3092</v>
      </c>
      <c r="J475" s="247" t="s">
        <v>97</v>
      </c>
      <c r="K475" s="247" t="s">
        <v>1133</v>
      </c>
      <c r="L475" s="247" t="s">
        <v>154</v>
      </c>
      <c r="M475" s="414"/>
      <c r="N475" s="414"/>
      <c r="O475" s="414"/>
      <c r="P475" s="424"/>
      <c r="Q475" s="424"/>
      <c r="R475" s="424"/>
      <c r="S475" s="424"/>
      <c r="T475" s="424"/>
      <c r="U475" s="424"/>
      <c r="V475" s="424"/>
      <c r="W475" s="424"/>
      <c r="X475" s="424"/>
      <c r="Y475" s="424"/>
      <c r="Z475" s="424"/>
      <c r="AA475" s="424"/>
      <c r="AB475" s="424"/>
      <c r="AC475" s="424"/>
      <c r="AD475" s="424"/>
      <c r="AE475" s="424"/>
      <c r="AF475" s="424"/>
      <c r="AG475" s="424"/>
      <c r="AH475" s="424"/>
      <c r="AI475" s="424"/>
      <c r="AJ475" s="424"/>
      <c r="AK475" s="424"/>
      <c r="AL475" s="424"/>
      <c r="AM475" s="424"/>
      <c r="AN475" s="424"/>
      <c r="AO475" s="424"/>
      <c r="AP475" s="424"/>
      <c r="AQ475" s="424"/>
      <c r="AR475" s="424"/>
      <c r="AS475" s="424"/>
      <c r="AT475" s="424"/>
      <c r="AU475" s="424"/>
      <c r="AV475" s="424"/>
      <c r="AW475" s="424"/>
      <c r="AX475" s="424"/>
      <c r="AY475" s="424"/>
    </row>
    <row r="476" spans="1:51" s="331" customFormat="1">
      <c r="A476" s="474">
        <v>45917</v>
      </c>
      <c r="B476" s="339" t="s">
        <v>3063</v>
      </c>
      <c r="C476" s="339" t="s">
        <v>151</v>
      </c>
      <c r="D476" s="339" t="s">
        <v>2468</v>
      </c>
      <c r="E476" s="475">
        <v>10000</v>
      </c>
      <c r="F476" s="463">
        <f t="shared" si="8"/>
        <v>18.744037053212445</v>
      </c>
      <c r="G476" s="464">
        <v>533.50300000000004</v>
      </c>
      <c r="H476" s="475" t="s">
        <v>183</v>
      </c>
      <c r="I476" s="475" t="s">
        <v>3102</v>
      </c>
      <c r="J476" s="247" t="s">
        <v>97</v>
      </c>
      <c r="K476" s="247" t="s">
        <v>1133</v>
      </c>
      <c r="L476" s="247" t="s">
        <v>154</v>
      </c>
      <c r="M476" s="414"/>
      <c r="N476" s="414"/>
      <c r="O476" s="414"/>
      <c r="P476" s="424"/>
      <c r="Q476" s="424"/>
      <c r="R476" s="424"/>
      <c r="S476" s="424"/>
      <c r="T476" s="424"/>
      <c r="U476" s="424"/>
      <c r="V476" s="424"/>
      <c r="W476" s="424"/>
      <c r="X476" s="424"/>
      <c r="Y476" s="424"/>
      <c r="Z476" s="424"/>
      <c r="AA476" s="424"/>
      <c r="AB476" s="424"/>
      <c r="AC476" s="424"/>
      <c r="AD476" s="424"/>
      <c r="AE476" s="424"/>
      <c r="AF476" s="424"/>
      <c r="AG476" s="424"/>
      <c r="AH476" s="424"/>
      <c r="AI476" s="424"/>
      <c r="AJ476" s="424"/>
      <c r="AK476" s="424"/>
      <c r="AL476" s="424"/>
      <c r="AM476" s="424"/>
      <c r="AN476" s="424"/>
      <c r="AO476" s="424"/>
      <c r="AP476" s="424"/>
      <c r="AQ476" s="424"/>
      <c r="AR476" s="424"/>
      <c r="AS476" s="424"/>
      <c r="AT476" s="424"/>
      <c r="AU476" s="424"/>
      <c r="AV476" s="424"/>
      <c r="AW476" s="424"/>
      <c r="AX476" s="424"/>
      <c r="AY476" s="424"/>
    </row>
    <row r="477" spans="1:51" s="331" customFormat="1">
      <c r="A477" s="476">
        <v>45917</v>
      </c>
      <c r="B477" s="469" t="s">
        <v>3158</v>
      </c>
      <c r="C477" s="469" t="s">
        <v>173</v>
      </c>
      <c r="D477" s="469" t="s">
        <v>120</v>
      </c>
      <c r="E477" s="469">
        <v>1000</v>
      </c>
      <c r="F477" s="463">
        <f t="shared" si="8"/>
        <v>1.8744037053212446</v>
      </c>
      <c r="G477" s="464">
        <v>533.50300000000004</v>
      </c>
      <c r="H477" s="469" t="s">
        <v>174</v>
      </c>
      <c r="I477" s="469" t="s">
        <v>3196</v>
      </c>
      <c r="J477" s="247" t="s">
        <v>97</v>
      </c>
      <c r="K477" s="247" t="s">
        <v>1133</v>
      </c>
      <c r="L477" s="247" t="s">
        <v>154</v>
      </c>
      <c r="M477" s="414"/>
      <c r="N477" s="414"/>
      <c r="O477" s="414"/>
      <c r="P477" s="424"/>
      <c r="Q477" s="424"/>
      <c r="R477" s="424"/>
      <c r="S477" s="424"/>
      <c r="T477" s="424"/>
      <c r="U477" s="424"/>
      <c r="V477" s="424"/>
      <c r="W477" s="424"/>
      <c r="X477" s="424"/>
      <c r="Y477" s="424"/>
      <c r="Z477" s="424"/>
      <c r="AA477" s="424"/>
      <c r="AB477" s="424"/>
      <c r="AC477" s="424"/>
      <c r="AD477" s="424"/>
      <c r="AE477" s="424"/>
      <c r="AF477" s="424"/>
      <c r="AG477" s="424"/>
      <c r="AH477" s="424"/>
      <c r="AI477" s="424"/>
      <c r="AJ477" s="424"/>
      <c r="AK477" s="424"/>
      <c r="AL477" s="424"/>
      <c r="AM477" s="424"/>
      <c r="AN477" s="424"/>
      <c r="AO477" s="424"/>
      <c r="AP477" s="424"/>
      <c r="AQ477" s="424"/>
      <c r="AR477" s="424"/>
      <c r="AS477" s="424"/>
      <c r="AT477" s="424"/>
      <c r="AU477" s="424"/>
      <c r="AV477" s="424"/>
      <c r="AW477" s="424"/>
      <c r="AX477" s="424"/>
      <c r="AY477" s="424"/>
    </row>
    <row r="478" spans="1:51" s="331" customFormat="1">
      <c r="A478" s="476">
        <v>45917</v>
      </c>
      <c r="B478" s="469" t="s">
        <v>3874</v>
      </c>
      <c r="C478" s="469" t="s">
        <v>173</v>
      </c>
      <c r="D478" s="469" t="s">
        <v>120</v>
      </c>
      <c r="E478" s="469">
        <v>6000</v>
      </c>
      <c r="F478" s="463">
        <f t="shared" ref="F478:F541" si="9">E478/G478</f>
        <v>11.246422231927466</v>
      </c>
      <c r="G478" s="464">
        <v>533.50300000000004</v>
      </c>
      <c r="H478" s="469" t="s">
        <v>174</v>
      </c>
      <c r="I478" s="469" t="s">
        <v>3208</v>
      </c>
      <c r="J478" s="247" t="s">
        <v>97</v>
      </c>
      <c r="K478" s="247" t="s">
        <v>1133</v>
      </c>
      <c r="L478" s="247" t="s">
        <v>154</v>
      </c>
      <c r="M478" s="414"/>
      <c r="N478" s="414"/>
      <c r="O478" s="414"/>
      <c r="P478" s="424"/>
      <c r="Q478" s="424"/>
      <c r="R478" s="424"/>
      <c r="S478" s="424"/>
      <c r="T478" s="424"/>
      <c r="U478" s="424"/>
      <c r="V478" s="424"/>
      <c r="W478" s="424"/>
      <c r="X478" s="424"/>
      <c r="Y478" s="424"/>
      <c r="Z478" s="424"/>
      <c r="AA478" s="424"/>
      <c r="AB478" s="424"/>
      <c r="AC478" s="424"/>
      <c r="AD478" s="424"/>
      <c r="AE478" s="424"/>
      <c r="AF478" s="424"/>
      <c r="AG478" s="424"/>
      <c r="AH478" s="424"/>
      <c r="AI478" s="424"/>
      <c r="AJ478" s="424"/>
      <c r="AK478" s="424"/>
      <c r="AL478" s="424"/>
      <c r="AM478" s="424"/>
      <c r="AN478" s="424"/>
      <c r="AO478" s="424"/>
      <c r="AP478" s="424"/>
      <c r="AQ478" s="424"/>
      <c r="AR478" s="424"/>
      <c r="AS478" s="424"/>
      <c r="AT478" s="424"/>
      <c r="AU478" s="424"/>
      <c r="AV478" s="424"/>
      <c r="AW478" s="424"/>
      <c r="AX478" s="424"/>
      <c r="AY478" s="424"/>
    </row>
    <row r="479" spans="1:51" s="331" customFormat="1">
      <c r="A479" s="476">
        <v>45917</v>
      </c>
      <c r="B479" s="469" t="s">
        <v>4070</v>
      </c>
      <c r="C479" s="469" t="s">
        <v>173</v>
      </c>
      <c r="D479" s="469" t="s">
        <v>120</v>
      </c>
      <c r="E479" s="469">
        <v>1000</v>
      </c>
      <c r="F479" s="463">
        <f t="shared" si="9"/>
        <v>1.8744037053212446</v>
      </c>
      <c r="G479" s="464">
        <v>533.50300000000004</v>
      </c>
      <c r="H479" s="469" t="s">
        <v>174</v>
      </c>
      <c r="I479" s="469" t="s">
        <v>3196</v>
      </c>
      <c r="J479" s="247" t="s">
        <v>97</v>
      </c>
      <c r="K479" s="247" t="s">
        <v>1133</v>
      </c>
      <c r="L479" s="247" t="s">
        <v>154</v>
      </c>
      <c r="M479" s="414"/>
      <c r="N479" s="414"/>
      <c r="O479" s="414"/>
      <c r="P479" s="424"/>
      <c r="Q479" s="424"/>
      <c r="R479" s="424"/>
      <c r="S479" s="424"/>
      <c r="T479" s="424"/>
      <c r="U479" s="424"/>
      <c r="V479" s="424"/>
      <c r="W479" s="424"/>
      <c r="X479" s="424"/>
      <c r="Y479" s="424"/>
      <c r="Z479" s="424"/>
      <c r="AA479" s="424"/>
      <c r="AB479" s="424"/>
      <c r="AC479" s="424"/>
      <c r="AD479" s="424"/>
      <c r="AE479" s="424"/>
      <c r="AF479" s="424"/>
      <c r="AG479" s="424"/>
      <c r="AH479" s="424"/>
      <c r="AI479" s="424"/>
      <c r="AJ479" s="424"/>
      <c r="AK479" s="424"/>
      <c r="AL479" s="424"/>
      <c r="AM479" s="424"/>
      <c r="AN479" s="424"/>
      <c r="AO479" s="424"/>
      <c r="AP479" s="424"/>
      <c r="AQ479" s="424"/>
      <c r="AR479" s="424"/>
      <c r="AS479" s="424"/>
      <c r="AT479" s="424"/>
      <c r="AU479" s="424"/>
      <c r="AV479" s="424"/>
      <c r="AW479" s="424"/>
      <c r="AX479" s="424"/>
      <c r="AY479" s="424"/>
    </row>
    <row r="480" spans="1:51" s="331" customFormat="1">
      <c r="A480" s="476">
        <v>45917</v>
      </c>
      <c r="B480" s="469" t="s">
        <v>4071</v>
      </c>
      <c r="C480" s="469" t="s">
        <v>173</v>
      </c>
      <c r="D480" s="469" t="s">
        <v>120</v>
      </c>
      <c r="E480" s="469">
        <v>1000</v>
      </c>
      <c r="F480" s="463">
        <f t="shared" si="9"/>
        <v>1.8744037053212446</v>
      </c>
      <c r="G480" s="464">
        <v>533.50300000000004</v>
      </c>
      <c r="H480" s="469" t="s">
        <v>174</v>
      </c>
      <c r="I480" s="469" t="s">
        <v>3196</v>
      </c>
      <c r="J480" s="247" t="s">
        <v>97</v>
      </c>
      <c r="K480" s="247" t="s">
        <v>1133</v>
      </c>
      <c r="L480" s="247" t="s">
        <v>154</v>
      </c>
      <c r="M480" s="414"/>
      <c r="N480" s="414"/>
      <c r="O480" s="414"/>
      <c r="P480" s="424"/>
      <c r="Q480" s="424"/>
      <c r="R480" s="424"/>
      <c r="S480" s="424"/>
      <c r="T480" s="424"/>
      <c r="U480" s="424"/>
      <c r="V480" s="424"/>
      <c r="W480" s="424"/>
      <c r="X480" s="424"/>
      <c r="Y480" s="424"/>
      <c r="Z480" s="424"/>
      <c r="AA480" s="424"/>
      <c r="AB480" s="424"/>
      <c r="AC480" s="424"/>
      <c r="AD480" s="424"/>
      <c r="AE480" s="424"/>
      <c r="AF480" s="424"/>
      <c r="AG480" s="424"/>
      <c r="AH480" s="424"/>
      <c r="AI480" s="424"/>
      <c r="AJ480" s="424"/>
      <c r="AK480" s="424"/>
      <c r="AL480" s="424"/>
      <c r="AM480" s="424"/>
      <c r="AN480" s="424"/>
      <c r="AO480" s="424"/>
      <c r="AP480" s="424"/>
      <c r="AQ480" s="424"/>
      <c r="AR480" s="424"/>
      <c r="AS480" s="424"/>
      <c r="AT480" s="424"/>
      <c r="AU480" s="424"/>
      <c r="AV480" s="424"/>
      <c r="AW480" s="424"/>
      <c r="AX480" s="424"/>
      <c r="AY480" s="424"/>
    </row>
    <row r="481" spans="1:51" s="331" customFormat="1">
      <c r="A481" s="476">
        <v>45917</v>
      </c>
      <c r="B481" s="469" t="s">
        <v>3878</v>
      </c>
      <c r="C481" s="469" t="s">
        <v>1007</v>
      </c>
      <c r="D481" s="469" t="s">
        <v>120</v>
      </c>
      <c r="E481" s="469">
        <v>6000</v>
      </c>
      <c r="F481" s="463">
        <f t="shared" si="9"/>
        <v>11.246422231927466</v>
      </c>
      <c r="G481" s="464">
        <v>533.50300000000004</v>
      </c>
      <c r="H481" s="469" t="s">
        <v>174</v>
      </c>
      <c r="I481" s="469" t="s">
        <v>3209</v>
      </c>
      <c r="J481" s="247" t="s">
        <v>97</v>
      </c>
      <c r="K481" s="247" t="s">
        <v>1133</v>
      </c>
      <c r="L481" s="247" t="s">
        <v>154</v>
      </c>
      <c r="M481" s="414"/>
      <c r="N481" s="414"/>
      <c r="O481" s="414"/>
      <c r="P481" s="424"/>
      <c r="Q481" s="424"/>
      <c r="R481" s="424"/>
      <c r="S481" s="424"/>
      <c r="T481" s="424"/>
      <c r="U481" s="424"/>
      <c r="V481" s="424"/>
      <c r="W481" s="424"/>
      <c r="X481" s="424"/>
      <c r="Y481" s="424"/>
      <c r="Z481" s="424"/>
      <c r="AA481" s="424"/>
      <c r="AB481" s="424"/>
      <c r="AC481" s="424"/>
      <c r="AD481" s="424"/>
      <c r="AE481" s="424"/>
      <c r="AF481" s="424"/>
      <c r="AG481" s="424"/>
      <c r="AH481" s="424"/>
      <c r="AI481" s="424"/>
      <c r="AJ481" s="424"/>
      <c r="AK481" s="424"/>
      <c r="AL481" s="424"/>
      <c r="AM481" s="424"/>
      <c r="AN481" s="424"/>
      <c r="AO481" s="424"/>
      <c r="AP481" s="424"/>
      <c r="AQ481" s="424"/>
      <c r="AR481" s="424"/>
      <c r="AS481" s="424"/>
      <c r="AT481" s="424"/>
      <c r="AU481" s="424"/>
      <c r="AV481" s="424"/>
      <c r="AW481" s="424"/>
      <c r="AX481" s="424"/>
      <c r="AY481" s="424"/>
    </row>
    <row r="482" spans="1:51" s="331" customFormat="1">
      <c r="A482" s="476">
        <v>45917</v>
      </c>
      <c r="B482" s="469" t="s">
        <v>3118</v>
      </c>
      <c r="C482" s="469" t="s">
        <v>368</v>
      </c>
      <c r="D482" s="469" t="s">
        <v>120</v>
      </c>
      <c r="E482" s="469">
        <v>1500</v>
      </c>
      <c r="F482" s="463">
        <f t="shared" si="9"/>
        <v>2.8116055579818666</v>
      </c>
      <c r="G482" s="464">
        <v>533.50300000000004</v>
      </c>
      <c r="H482" s="469" t="s">
        <v>174</v>
      </c>
      <c r="I482" s="469" t="s">
        <v>3201</v>
      </c>
      <c r="J482" s="247" t="s">
        <v>97</v>
      </c>
      <c r="K482" s="247" t="s">
        <v>1133</v>
      </c>
      <c r="L482" s="247" t="s">
        <v>154</v>
      </c>
      <c r="M482" s="414"/>
      <c r="N482" s="414"/>
      <c r="O482" s="414"/>
      <c r="P482" s="424"/>
      <c r="Q482" s="424"/>
      <c r="R482" s="424"/>
      <c r="S482" s="424"/>
      <c r="T482" s="424"/>
      <c r="U482" s="424"/>
      <c r="V482" s="424"/>
      <c r="W482" s="424"/>
      <c r="X482" s="424"/>
      <c r="Y482" s="424"/>
      <c r="Z482" s="424"/>
      <c r="AA482" s="424"/>
      <c r="AB482" s="424"/>
      <c r="AC482" s="424"/>
      <c r="AD482" s="424"/>
      <c r="AE482" s="424"/>
      <c r="AF482" s="424"/>
      <c r="AG482" s="424"/>
      <c r="AH482" s="424"/>
      <c r="AI482" s="424"/>
      <c r="AJ482" s="424"/>
      <c r="AK482" s="424"/>
      <c r="AL482" s="424"/>
      <c r="AM482" s="424"/>
      <c r="AN482" s="424"/>
      <c r="AO482" s="424"/>
      <c r="AP482" s="424"/>
      <c r="AQ482" s="424"/>
      <c r="AR482" s="424"/>
      <c r="AS482" s="424"/>
      <c r="AT482" s="424"/>
      <c r="AU482" s="424"/>
      <c r="AV482" s="424"/>
      <c r="AW482" s="424"/>
      <c r="AX482" s="424"/>
      <c r="AY482" s="424"/>
    </row>
    <row r="483" spans="1:51" s="331" customFormat="1">
      <c r="A483" s="476">
        <v>45917</v>
      </c>
      <c r="B483" s="339" t="s">
        <v>3159</v>
      </c>
      <c r="C483" s="339" t="s">
        <v>151</v>
      </c>
      <c r="D483" s="469" t="s">
        <v>120</v>
      </c>
      <c r="E483" s="469">
        <v>10000</v>
      </c>
      <c r="F483" s="463">
        <f t="shared" si="9"/>
        <v>18.744037053212445</v>
      </c>
      <c r="G483" s="464">
        <v>533.50300000000004</v>
      </c>
      <c r="H483" s="469" t="s">
        <v>174</v>
      </c>
      <c r="I483" s="469" t="s">
        <v>3210</v>
      </c>
      <c r="J483" s="247" t="s">
        <v>97</v>
      </c>
      <c r="K483" s="247" t="s">
        <v>1133</v>
      </c>
      <c r="L483" s="247" t="s">
        <v>154</v>
      </c>
      <c r="M483" s="414"/>
      <c r="N483" s="414"/>
      <c r="O483" s="414"/>
      <c r="P483" s="424"/>
      <c r="Q483" s="424"/>
      <c r="R483" s="424"/>
      <c r="S483" s="424"/>
      <c r="T483" s="424"/>
      <c r="U483" s="424"/>
      <c r="V483" s="424"/>
      <c r="W483" s="424"/>
      <c r="X483" s="424"/>
      <c r="Y483" s="424"/>
      <c r="Z483" s="424"/>
      <c r="AA483" s="424"/>
      <c r="AB483" s="424"/>
      <c r="AC483" s="424"/>
      <c r="AD483" s="424"/>
      <c r="AE483" s="424"/>
      <c r="AF483" s="424"/>
      <c r="AG483" s="424"/>
      <c r="AH483" s="424"/>
      <c r="AI483" s="424"/>
      <c r="AJ483" s="424"/>
      <c r="AK483" s="424"/>
      <c r="AL483" s="424"/>
      <c r="AM483" s="424"/>
      <c r="AN483" s="424"/>
      <c r="AO483" s="424"/>
      <c r="AP483" s="424"/>
      <c r="AQ483" s="424"/>
      <c r="AR483" s="424"/>
      <c r="AS483" s="424"/>
      <c r="AT483" s="424"/>
      <c r="AU483" s="424"/>
      <c r="AV483" s="424"/>
      <c r="AW483" s="424"/>
      <c r="AX483" s="424"/>
      <c r="AY483" s="424"/>
    </row>
    <row r="484" spans="1:51" s="331" customFormat="1">
      <c r="A484" s="476">
        <v>45917</v>
      </c>
      <c r="B484" s="469" t="s">
        <v>3247</v>
      </c>
      <c r="C484" s="469" t="s">
        <v>173</v>
      </c>
      <c r="D484" s="469" t="s">
        <v>120</v>
      </c>
      <c r="E484" s="469">
        <v>2000</v>
      </c>
      <c r="F484" s="463">
        <f t="shared" si="9"/>
        <v>3.7488074106424891</v>
      </c>
      <c r="G484" s="464">
        <v>533.50300000000004</v>
      </c>
      <c r="H484" s="469" t="s">
        <v>316</v>
      </c>
      <c r="I484" s="469" t="s">
        <v>3260</v>
      </c>
      <c r="J484" s="247" t="s">
        <v>97</v>
      </c>
      <c r="K484" s="247" t="s">
        <v>1133</v>
      </c>
      <c r="L484" s="247" t="s">
        <v>154</v>
      </c>
      <c r="M484" s="335"/>
      <c r="N484" s="335"/>
      <c r="O484" s="335"/>
      <c r="P484" s="424"/>
      <c r="Q484" s="424"/>
      <c r="R484" s="424"/>
      <c r="S484" s="424"/>
      <c r="T484" s="424"/>
      <c r="U484" s="424"/>
      <c r="V484" s="424"/>
      <c r="W484" s="424"/>
      <c r="X484" s="424"/>
      <c r="Y484" s="424"/>
      <c r="Z484" s="424"/>
      <c r="AA484" s="424"/>
      <c r="AB484" s="424"/>
      <c r="AC484" s="424"/>
      <c r="AD484" s="424"/>
      <c r="AE484" s="424"/>
      <c r="AF484" s="424"/>
      <c r="AG484" s="424"/>
      <c r="AH484" s="424"/>
      <c r="AI484" s="424"/>
      <c r="AJ484" s="424"/>
      <c r="AK484" s="424"/>
      <c r="AL484" s="424"/>
      <c r="AM484" s="424"/>
      <c r="AN484" s="424"/>
      <c r="AO484" s="424"/>
      <c r="AP484" s="424"/>
      <c r="AQ484" s="424"/>
      <c r="AR484" s="424"/>
      <c r="AS484" s="424"/>
      <c r="AT484" s="424"/>
      <c r="AU484" s="424"/>
      <c r="AV484" s="424"/>
      <c r="AW484" s="424"/>
      <c r="AX484" s="424"/>
      <c r="AY484" s="424"/>
    </row>
    <row r="485" spans="1:51" s="422" customFormat="1">
      <c r="A485" s="476">
        <v>45917</v>
      </c>
      <c r="B485" s="469" t="s">
        <v>2520</v>
      </c>
      <c r="C485" s="469" t="s">
        <v>173</v>
      </c>
      <c r="D485" s="469" t="s">
        <v>120</v>
      </c>
      <c r="E485" s="469">
        <v>1000</v>
      </c>
      <c r="F485" s="463">
        <f t="shared" si="9"/>
        <v>1.8744037053212446</v>
      </c>
      <c r="G485" s="464">
        <v>533.50300000000004</v>
      </c>
      <c r="H485" s="469" t="s">
        <v>316</v>
      </c>
      <c r="I485" s="469" t="s">
        <v>3260</v>
      </c>
      <c r="J485" s="247" t="s">
        <v>97</v>
      </c>
      <c r="K485" s="247" t="s">
        <v>1133</v>
      </c>
      <c r="L485" s="247" t="s">
        <v>154</v>
      </c>
      <c r="M485" s="335"/>
      <c r="N485" s="335"/>
      <c r="O485" s="335"/>
      <c r="P485" s="424"/>
      <c r="Q485" s="424"/>
      <c r="R485" s="424"/>
      <c r="S485" s="424"/>
      <c r="T485" s="424"/>
      <c r="U485" s="424"/>
      <c r="V485" s="424"/>
      <c r="W485" s="424"/>
      <c r="X485" s="424"/>
      <c r="Y485" s="424"/>
      <c r="Z485" s="424"/>
      <c r="AA485" s="424"/>
      <c r="AB485" s="424"/>
      <c r="AC485" s="424"/>
      <c r="AD485" s="424"/>
      <c r="AE485" s="424"/>
      <c r="AF485" s="424"/>
      <c r="AG485" s="424"/>
      <c r="AH485" s="424"/>
      <c r="AI485" s="424"/>
      <c r="AJ485" s="424"/>
      <c r="AK485" s="424"/>
      <c r="AL485" s="424"/>
      <c r="AM485" s="424"/>
      <c r="AN485" s="424"/>
      <c r="AO485" s="424"/>
      <c r="AP485" s="424"/>
      <c r="AQ485" s="424"/>
      <c r="AR485" s="424"/>
      <c r="AS485" s="424"/>
      <c r="AT485" s="424"/>
      <c r="AU485" s="424"/>
      <c r="AV485" s="424"/>
      <c r="AW485" s="424"/>
      <c r="AX485" s="424"/>
      <c r="AY485" s="424"/>
    </row>
    <row r="486" spans="1:51" s="331" customFormat="1">
      <c r="A486" s="476">
        <v>45917</v>
      </c>
      <c r="B486" s="469" t="s">
        <v>2521</v>
      </c>
      <c r="C486" s="469" t="s">
        <v>173</v>
      </c>
      <c r="D486" s="469" t="s">
        <v>120</v>
      </c>
      <c r="E486" s="469">
        <v>1500</v>
      </c>
      <c r="F486" s="463">
        <f t="shared" si="9"/>
        <v>2.8116055579818666</v>
      </c>
      <c r="G486" s="464">
        <v>533.50300000000004</v>
      </c>
      <c r="H486" s="469" t="s">
        <v>316</v>
      </c>
      <c r="I486" s="469" t="s">
        <v>3260</v>
      </c>
      <c r="J486" s="247" t="s">
        <v>97</v>
      </c>
      <c r="K486" s="247" t="s">
        <v>1133</v>
      </c>
      <c r="L486" s="247" t="s">
        <v>154</v>
      </c>
      <c r="M486" s="335"/>
      <c r="N486" s="335"/>
      <c r="O486" s="335"/>
      <c r="P486" s="424"/>
      <c r="Q486" s="424"/>
      <c r="R486" s="424"/>
      <c r="S486" s="424"/>
      <c r="T486" s="424"/>
      <c r="U486" s="424"/>
      <c r="V486" s="424"/>
      <c r="W486" s="424"/>
      <c r="X486" s="424"/>
      <c r="Y486" s="424"/>
      <c r="Z486" s="424"/>
      <c r="AA486" s="424"/>
      <c r="AB486" s="424"/>
      <c r="AC486" s="424"/>
      <c r="AD486" s="424"/>
      <c r="AE486" s="424"/>
      <c r="AF486" s="424"/>
      <c r="AG486" s="424"/>
      <c r="AH486" s="424"/>
      <c r="AI486" s="424"/>
      <c r="AJ486" s="424"/>
      <c r="AK486" s="424"/>
      <c r="AL486" s="424"/>
      <c r="AM486" s="424"/>
      <c r="AN486" s="424"/>
      <c r="AO486" s="424"/>
      <c r="AP486" s="424"/>
      <c r="AQ486" s="424"/>
      <c r="AR486" s="424"/>
      <c r="AS486" s="424"/>
      <c r="AT486" s="424"/>
      <c r="AU486" s="424"/>
      <c r="AV486" s="424"/>
      <c r="AW486" s="424"/>
      <c r="AX486" s="424"/>
      <c r="AY486" s="424"/>
    </row>
    <row r="487" spans="1:51" s="331" customFormat="1">
      <c r="A487" s="476">
        <v>45917</v>
      </c>
      <c r="B487" s="469" t="s">
        <v>3248</v>
      </c>
      <c r="C487" s="469" t="s">
        <v>151</v>
      </c>
      <c r="D487" s="469" t="s">
        <v>120</v>
      </c>
      <c r="E487" s="469">
        <v>10000</v>
      </c>
      <c r="F487" s="463">
        <f t="shared" si="9"/>
        <v>18.744037053212445</v>
      </c>
      <c r="G487" s="464">
        <v>533.50300000000004</v>
      </c>
      <c r="H487" s="469" t="s">
        <v>316</v>
      </c>
      <c r="I487" s="247" t="s">
        <v>3274</v>
      </c>
      <c r="J487" s="247" t="s">
        <v>97</v>
      </c>
      <c r="K487" s="247" t="s">
        <v>1133</v>
      </c>
      <c r="L487" s="247" t="s">
        <v>154</v>
      </c>
      <c r="M487" s="335"/>
      <c r="N487" s="335"/>
      <c r="O487" s="335"/>
      <c r="P487" s="424"/>
      <c r="Q487" s="424"/>
      <c r="R487" s="424"/>
      <c r="S487" s="424"/>
      <c r="T487" s="424"/>
      <c r="U487" s="424"/>
      <c r="V487" s="424"/>
      <c r="W487" s="424"/>
      <c r="X487" s="424"/>
      <c r="Y487" s="424"/>
      <c r="Z487" s="424"/>
      <c r="AA487" s="424"/>
      <c r="AB487" s="424"/>
      <c r="AC487" s="424"/>
      <c r="AD487" s="424"/>
      <c r="AE487" s="424"/>
      <c r="AF487" s="424"/>
      <c r="AG487" s="424"/>
      <c r="AH487" s="424"/>
      <c r="AI487" s="424"/>
      <c r="AJ487" s="424"/>
      <c r="AK487" s="424"/>
      <c r="AL487" s="424"/>
      <c r="AM487" s="424"/>
      <c r="AN487" s="424"/>
      <c r="AO487" s="424"/>
      <c r="AP487" s="424"/>
      <c r="AQ487" s="424"/>
      <c r="AR487" s="424"/>
      <c r="AS487" s="424"/>
      <c r="AT487" s="424"/>
      <c r="AU487" s="424"/>
      <c r="AV487" s="424"/>
      <c r="AW487" s="424"/>
      <c r="AX487" s="424"/>
      <c r="AY487" s="424"/>
    </row>
    <row r="488" spans="1:51" s="331" customFormat="1">
      <c r="A488" s="476">
        <v>45917</v>
      </c>
      <c r="B488" s="469" t="s">
        <v>3286</v>
      </c>
      <c r="C488" s="469" t="s">
        <v>173</v>
      </c>
      <c r="D488" s="469" t="s">
        <v>120</v>
      </c>
      <c r="E488" s="472">
        <v>1500</v>
      </c>
      <c r="F488" s="463">
        <f t="shared" si="9"/>
        <v>2.8116055579818666</v>
      </c>
      <c r="G488" s="464">
        <v>533.50300000000004</v>
      </c>
      <c r="H488" s="469" t="s">
        <v>322</v>
      </c>
      <c r="I488" s="469" t="s">
        <v>3301</v>
      </c>
      <c r="J488" s="247" t="s">
        <v>97</v>
      </c>
      <c r="K488" s="247" t="s">
        <v>1133</v>
      </c>
      <c r="L488" s="247" t="s">
        <v>154</v>
      </c>
      <c r="M488" s="335"/>
      <c r="N488" s="335"/>
      <c r="O488" s="335"/>
      <c r="P488" s="424"/>
      <c r="Q488" s="424"/>
      <c r="R488" s="424"/>
      <c r="S488" s="424"/>
      <c r="T488" s="424"/>
      <c r="U488" s="424"/>
      <c r="V488" s="424"/>
      <c r="W488" s="424"/>
      <c r="X488" s="424"/>
      <c r="Y488" s="424"/>
      <c r="Z488" s="424"/>
      <c r="AA488" s="424"/>
      <c r="AB488" s="424"/>
      <c r="AC488" s="424"/>
      <c r="AD488" s="424"/>
      <c r="AE488" s="424"/>
      <c r="AF488" s="424"/>
      <c r="AG488" s="424"/>
      <c r="AH488" s="424"/>
      <c r="AI488" s="424"/>
      <c r="AJ488" s="424"/>
      <c r="AK488" s="424"/>
      <c r="AL488" s="424"/>
      <c r="AM488" s="424"/>
      <c r="AN488" s="424"/>
      <c r="AO488" s="424"/>
      <c r="AP488" s="424"/>
      <c r="AQ488" s="424"/>
      <c r="AR488" s="424"/>
      <c r="AS488" s="424"/>
      <c r="AT488" s="424"/>
      <c r="AU488" s="424"/>
      <c r="AV488" s="424"/>
      <c r="AW488" s="424"/>
      <c r="AX488" s="424"/>
      <c r="AY488" s="424"/>
    </row>
    <row r="489" spans="1:51" s="331" customFormat="1">
      <c r="A489" s="476">
        <v>45917</v>
      </c>
      <c r="B489" s="469" t="s">
        <v>3287</v>
      </c>
      <c r="C489" s="469" t="s">
        <v>173</v>
      </c>
      <c r="D489" s="469" t="s">
        <v>120</v>
      </c>
      <c r="E489" s="472">
        <v>1500</v>
      </c>
      <c r="F489" s="463">
        <f t="shared" si="9"/>
        <v>2.8116055579818666</v>
      </c>
      <c r="G489" s="464">
        <v>533.50300000000004</v>
      </c>
      <c r="H489" s="469" t="s">
        <v>322</v>
      </c>
      <c r="I489" s="469" t="s">
        <v>3301</v>
      </c>
      <c r="J489" s="247" t="s">
        <v>97</v>
      </c>
      <c r="K489" s="247" t="s">
        <v>1133</v>
      </c>
      <c r="L489" s="247" t="s">
        <v>154</v>
      </c>
      <c r="M489" s="335"/>
      <c r="N489" s="335"/>
      <c r="O489" s="335"/>
      <c r="P489" s="424"/>
      <c r="Q489" s="424"/>
      <c r="R489" s="424"/>
      <c r="S489" s="424"/>
      <c r="T489" s="424"/>
      <c r="U489" s="424"/>
      <c r="V489" s="424"/>
      <c r="W489" s="424"/>
      <c r="X489" s="424"/>
      <c r="Y489" s="424"/>
      <c r="Z489" s="424"/>
      <c r="AA489" s="424"/>
      <c r="AB489" s="424"/>
      <c r="AC489" s="424"/>
      <c r="AD489" s="424"/>
      <c r="AE489" s="424"/>
      <c r="AF489" s="424"/>
      <c r="AG489" s="424"/>
      <c r="AH489" s="424"/>
      <c r="AI489" s="424"/>
      <c r="AJ489" s="424"/>
      <c r="AK489" s="424"/>
      <c r="AL489" s="424"/>
      <c r="AM489" s="424"/>
      <c r="AN489" s="424"/>
      <c r="AO489" s="424"/>
      <c r="AP489" s="424"/>
      <c r="AQ489" s="424"/>
      <c r="AR489" s="424"/>
      <c r="AS489" s="424"/>
      <c r="AT489" s="424"/>
      <c r="AU489" s="424"/>
      <c r="AV489" s="424"/>
      <c r="AW489" s="424"/>
      <c r="AX489" s="424"/>
      <c r="AY489" s="424"/>
    </row>
    <row r="490" spans="1:51" s="331" customFormat="1">
      <c r="A490" s="476">
        <v>45917</v>
      </c>
      <c r="B490" s="469" t="s">
        <v>3288</v>
      </c>
      <c r="C490" s="469" t="s">
        <v>173</v>
      </c>
      <c r="D490" s="469" t="s">
        <v>120</v>
      </c>
      <c r="E490" s="472">
        <v>2000</v>
      </c>
      <c r="F490" s="463">
        <f t="shared" si="9"/>
        <v>3.7488074106424891</v>
      </c>
      <c r="G490" s="464">
        <v>533.50300000000004</v>
      </c>
      <c r="H490" s="469" t="s">
        <v>322</v>
      </c>
      <c r="I490" s="469" t="s">
        <v>3301</v>
      </c>
      <c r="J490" s="247" t="s">
        <v>97</v>
      </c>
      <c r="K490" s="247" t="s">
        <v>1133</v>
      </c>
      <c r="L490" s="247" t="s">
        <v>154</v>
      </c>
      <c r="M490" s="335"/>
      <c r="N490" s="335"/>
      <c r="O490" s="335"/>
      <c r="P490" s="424"/>
      <c r="Q490" s="424"/>
      <c r="R490" s="424"/>
      <c r="S490" s="424"/>
      <c r="T490" s="424"/>
      <c r="U490" s="424"/>
      <c r="V490" s="424"/>
      <c r="W490" s="424"/>
      <c r="X490" s="424"/>
      <c r="Y490" s="424"/>
      <c r="Z490" s="424"/>
      <c r="AA490" s="424"/>
      <c r="AB490" s="424"/>
      <c r="AC490" s="424"/>
      <c r="AD490" s="424"/>
      <c r="AE490" s="424"/>
      <c r="AF490" s="424"/>
      <c r="AG490" s="424"/>
      <c r="AH490" s="424"/>
      <c r="AI490" s="424"/>
      <c r="AJ490" s="424"/>
      <c r="AK490" s="424"/>
      <c r="AL490" s="424"/>
      <c r="AM490" s="424"/>
      <c r="AN490" s="424"/>
      <c r="AO490" s="424"/>
      <c r="AP490" s="424"/>
      <c r="AQ490" s="424"/>
      <c r="AR490" s="424"/>
      <c r="AS490" s="424"/>
      <c r="AT490" s="424"/>
      <c r="AU490" s="424"/>
      <c r="AV490" s="424"/>
      <c r="AW490" s="424"/>
      <c r="AX490" s="424"/>
      <c r="AY490" s="424"/>
    </row>
    <row r="491" spans="1:51" s="331" customFormat="1">
      <c r="A491" s="476">
        <v>45917</v>
      </c>
      <c r="B491" s="469" t="s">
        <v>3289</v>
      </c>
      <c r="C491" s="469" t="s">
        <v>151</v>
      </c>
      <c r="D491" s="469" t="s">
        <v>120</v>
      </c>
      <c r="E491" s="472">
        <v>10000</v>
      </c>
      <c r="F491" s="463">
        <f t="shared" si="9"/>
        <v>18.744037053212445</v>
      </c>
      <c r="G491" s="464">
        <v>533.50300000000004</v>
      </c>
      <c r="H491" s="469" t="s">
        <v>322</v>
      </c>
      <c r="I491" s="469" t="s">
        <v>3302</v>
      </c>
      <c r="J491" s="247" t="s">
        <v>97</v>
      </c>
      <c r="K491" s="247" t="s">
        <v>1133</v>
      </c>
      <c r="L491" s="247" t="s">
        <v>154</v>
      </c>
      <c r="M491" s="335"/>
      <c r="N491" s="335"/>
      <c r="O491" s="335"/>
      <c r="P491" s="424"/>
      <c r="Q491" s="424"/>
      <c r="R491" s="424"/>
      <c r="S491" s="424"/>
      <c r="T491" s="424"/>
      <c r="U491" s="424"/>
      <c r="V491" s="424"/>
      <c r="W491" s="424"/>
      <c r="X491" s="424"/>
      <c r="Y491" s="424"/>
      <c r="Z491" s="424"/>
      <c r="AA491" s="424"/>
      <c r="AB491" s="424"/>
      <c r="AC491" s="424"/>
      <c r="AD491" s="424"/>
      <c r="AE491" s="424"/>
      <c r="AF491" s="424"/>
      <c r="AG491" s="424"/>
      <c r="AH491" s="424"/>
      <c r="AI491" s="424"/>
      <c r="AJ491" s="424"/>
      <c r="AK491" s="424"/>
      <c r="AL491" s="424"/>
      <c r="AM491" s="424"/>
      <c r="AN491" s="424"/>
      <c r="AO491" s="424"/>
      <c r="AP491" s="424"/>
      <c r="AQ491" s="424"/>
      <c r="AR491" s="424"/>
      <c r="AS491" s="424"/>
      <c r="AT491" s="424"/>
      <c r="AU491" s="424"/>
      <c r="AV491" s="424"/>
      <c r="AW491" s="424"/>
      <c r="AX491" s="424"/>
      <c r="AY491" s="424"/>
    </row>
    <row r="492" spans="1:51" s="331" customFormat="1">
      <c r="A492" s="476">
        <v>45917</v>
      </c>
      <c r="B492" s="469" t="s">
        <v>3316</v>
      </c>
      <c r="C492" s="469" t="s">
        <v>151</v>
      </c>
      <c r="D492" s="469" t="s">
        <v>116</v>
      </c>
      <c r="E492" s="470">
        <v>7500</v>
      </c>
      <c r="F492" s="463">
        <f t="shared" si="9"/>
        <v>14.058027789909334</v>
      </c>
      <c r="G492" s="464">
        <v>533.50300000000004</v>
      </c>
      <c r="H492" s="469" t="s">
        <v>189</v>
      </c>
      <c r="I492" s="247" t="s">
        <v>3330</v>
      </c>
      <c r="J492" s="247" t="s">
        <v>97</v>
      </c>
      <c r="K492" s="247" t="s">
        <v>1133</v>
      </c>
      <c r="L492" s="247" t="s">
        <v>154</v>
      </c>
      <c r="M492" s="335"/>
      <c r="N492" s="335"/>
      <c r="O492" s="335"/>
      <c r="P492" s="424"/>
      <c r="Q492" s="424"/>
      <c r="R492" s="424"/>
      <c r="S492" s="424"/>
      <c r="T492" s="424"/>
      <c r="U492" s="424"/>
      <c r="V492" s="424"/>
      <c r="W492" s="424"/>
      <c r="X492" s="424"/>
      <c r="Y492" s="424"/>
      <c r="Z492" s="424"/>
      <c r="AA492" s="424"/>
      <c r="AB492" s="424"/>
      <c r="AC492" s="424"/>
      <c r="AD492" s="424"/>
      <c r="AE492" s="424"/>
      <c r="AF492" s="424"/>
      <c r="AG492" s="424"/>
      <c r="AH492" s="424"/>
      <c r="AI492" s="424"/>
      <c r="AJ492" s="424"/>
      <c r="AK492" s="424"/>
      <c r="AL492" s="424"/>
      <c r="AM492" s="424"/>
      <c r="AN492" s="424"/>
      <c r="AO492" s="424"/>
      <c r="AP492" s="424"/>
      <c r="AQ492" s="424"/>
      <c r="AR492" s="424"/>
      <c r="AS492" s="424"/>
      <c r="AT492" s="424"/>
      <c r="AU492" s="424"/>
      <c r="AV492" s="424"/>
      <c r="AW492" s="424"/>
      <c r="AX492" s="424"/>
      <c r="AY492" s="424"/>
    </row>
    <row r="493" spans="1:51" s="331" customFormat="1">
      <c r="A493" s="471">
        <v>45917</v>
      </c>
      <c r="B493" s="469" t="s">
        <v>3353</v>
      </c>
      <c r="C493" s="469" t="s">
        <v>151</v>
      </c>
      <c r="D493" s="247" t="s">
        <v>116</v>
      </c>
      <c r="E493" s="482">
        <v>7500</v>
      </c>
      <c r="F493" s="463">
        <f t="shared" si="9"/>
        <v>14.058027789909334</v>
      </c>
      <c r="G493" s="464">
        <v>533.50300000000004</v>
      </c>
      <c r="H493" s="247" t="s">
        <v>192</v>
      </c>
      <c r="I493" s="469" t="s">
        <v>3371</v>
      </c>
      <c r="J493" s="247" t="s">
        <v>97</v>
      </c>
      <c r="K493" s="247" t="s">
        <v>1133</v>
      </c>
      <c r="L493" s="247" t="s">
        <v>154</v>
      </c>
      <c r="M493" s="414"/>
      <c r="N493" s="76"/>
      <c r="O493" s="76"/>
      <c r="P493" s="424"/>
      <c r="Q493" s="424"/>
      <c r="R493" s="424"/>
      <c r="S493" s="424"/>
      <c r="T493" s="424"/>
      <c r="U493" s="424"/>
      <c r="V493" s="424"/>
      <c r="W493" s="424"/>
      <c r="X493" s="424"/>
      <c r="Y493" s="424"/>
      <c r="Z493" s="424"/>
      <c r="AA493" s="424"/>
      <c r="AB493" s="424"/>
      <c r="AC493" s="424"/>
      <c r="AD493" s="424"/>
      <c r="AE493" s="424"/>
      <c r="AF493" s="424"/>
      <c r="AG493" s="424"/>
      <c r="AH493" s="424"/>
      <c r="AI493" s="424"/>
      <c r="AJ493" s="424"/>
      <c r="AK493" s="424"/>
      <c r="AL493" s="424"/>
      <c r="AM493" s="424"/>
      <c r="AN493" s="424"/>
      <c r="AO493" s="424"/>
      <c r="AP493" s="424"/>
      <c r="AQ493" s="424"/>
      <c r="AR493" s="424"/>
      <c r="AS493" s="424"/>
      <c r="AT493" s="424"/>
      <c r="AU493" s="424"/>
      <c r="AV493" s="424"/>
      <c r="AW493" s="424"/>
      <c r="AX493" s="424"/>
      <c r="AY493" s="424"/>
    </row>
    <row r="494" spans="1:51" s="331" customFormat="1">
      <c r="A494" s="461">
        <v>45917</v>
      </c>
      <c r="B494" s="247" t="s">
        <v>3402</v>
      </c>
      <c r="C494" s="243" t="s">
        <v>151</v>
      </c>
      <c r="D494" s="243" t="s">
        <v>116</v>
      </c>
      <c r="E494" s="478">
        <v>10000</v>
      </c>
      <c r="F494" s="463">
        <f t="shared" si="9"/>
        <v>18.744037053212445</v>
      </c>
      <c r="G494" s="464">
        <v>533.50300000000004</v>
      </c>
      <c r="H494" s="360" t="s">
        <v>437</v>
      </c>
      <c r="I494" s="469" t="s">
        <v>3423</v>
      </c>
      <c r="J494" s="247" t="s">
        <v>97</v>
      </c>
      <c r="K494" s="247" t="s">
        <v>1133</v>
      </c>
      <c r="L494" s="247" t="s">
        <v>154</v>
      </c>
      <c r="M494" s="414"/>
      <c r="N494" s="76"/>
      <c r="O494" s="76"/>
      <c r="P494" s="424"/>
      <c r="Q494" s="424"/>
      <c r="R494" s="424"/>
      <c r="S494" s="424"/>
      <c r="T494" s="424"/>
      <c r="U494" s="424"/>
      <c r="V494" s="424"/>
      <c r="W494" s="424"/>
      <c r="X494" s="424"/>
      <c r="Y494" s="424"/>
      <c r="Z494" s="424"/>
      <c r="AA494" s="424"/>
      <c r="AB494" s="424"/>
      <c r="AC494" s="424"/>
      <c r="AD494" s="424"/>
      <c r="AE494" s="424"/>
      <c r="AF494" s="424"/>
      <c r="AG494" s="424"/>
      <c r="AH494" s="424"/>
      <c r="AI494" s="424"/>
      <c r="AJ494" s="424"/>
      <c r="AK494" s="424"/>
      <c r="AL494" s="424"/>
      <c r="AM494" s="424"/>
      <c r="AN494" s="424"/>
      <c r="AO494" s="424"/>
      <c r="AP494" s="424"/>
      <c r="AQ494" s="424"/>
      <c r="AR494" s="424"/>
      <c r="AS494" s="424"/>
      <c r="AT494" s="424"/>
      <c r="AU494" s="424"/>
      <c r="AV494" s="424"/>
      <c r="AW494" s="424"/>
      <c r="AX494" s="424"/>
      <c r="AY494" s="424"/>
    </row>
    <row r="495" spans="1:51" s="331" customFormat="1">
      <c r="A495" s="476">
        <v>45917</v>
      </c>
      <c r="B495" s="247" t="s">
        <v>3464</v>
      </c>
      <c r="C495" s="243" t="s">
        <v>151</v>
      </c>
      <c r="D495" s="469" t="s">
        <v>119</v>
      </c>
      <c r="E495" s="472">
        <v>10000</v>
      </c>
      <c r="F495" s="463">
        <f t="shared" si="9"/>
        <v>18.744037053212445</v>
      </c>
      <c r="G495" s="464">
        <v>533.50300000000004</v>
      </c>
      <c r="H495" s="469" t="s">
        <v>212</v>
      </c>
      <c r="I495" s="469" t="s">
        <v>3481</v>
      </c>
      <c r="J495" s="247" t="s">
        <v>97</v>
      </c>
      <c r="K495" s="247" t="s">
        <v>1133</v>
      </c>
      <c r="L495" s="247" t="s">
        <v>154</v>
      </c>
      <c r="M495" s="414"/>
      <c r="N495" s="76"/>
      <c r="O495" s="76"/>
      <c r="P495" s="424"/>
      <c r="Q495" s="424"/>
      <c r="R495" s="424"/>
      <c r="S495" s="424"/>
      <c r="T495" s="424"/>
      <c r="U495" s="424"/>
      <c r="V495" s="424"/>
      <c r="W495" s="424"/>
      <c r="X495" s="424"/>
      <c r="Y495" s="424"/>
      <c r="Z495" s="424"/>
      <c r="AA495" s="424"/>
      <c r="AB495" s="424"/>
      <c r="AC495" s="424"/>
      <c r="AD495" s="424"/>
      <c r="AE495" s="424"/>
      <c r="AF495" s="424"/>
      <c r="AG495" s="424"/>
      <c r="AH495" s="424"/>
      <c r="AI495" s="424"/>
      <c r="AJ495" s="424"/>
      <c r="AK495" s="424"/>
      <c r="AL495" s="424"/>
      <c r="AM495" s="424"/>
      <c r="AN495" s="424"/>
      <c r="AO495" s="424"/>
      <c r="AP495" s="424"/>
      <c r="AQ495" s="424"/>
      <c r="AR495" s="424"/>
      <c r="AS495" s="424"/>
      <c r="AT495" s="424"/>
      <c r="AU495" s="424"/>
      <c r="AV495" s="424"/>
      <c r="AW495" s="424"/>
      <c r="AX495" s="424"/>
      <c r="AY495" s="424"/>
    </row>
    <row r="496" spans="1:51" s="331" customFormat="1">
      <c r="A496" s="476">
        <v>45917</v>
      </c>
      <c r="B496" s="469" t="s">
        <v>3497</v>
      </c>
      <c r="C496" s="469" t="s">
        <v>151</v>
      </c>
      <c r="D496" s="469" t="s">
        <v>116</v>
      </c>
      <c r="E496" s="469">
        <v>7500</v>
      </c>
      <c r="F496" s="463">
        <f t="shared" si="9"/>
        <v>14.058027789909334</v>
      </c>
      <c r="G496" s="464">
        <v>533.50300000000004</v>
      </c>
      <c r="H496" s="469" t="s">
        <v>186</v>
      </c>
      <c r="I496" s="469" t="s">
        <v>3510</v>
      </c>
      <c r="J496" s="247" t="s">
        <v>97</v>
      </c>
      <c r="K496" s="247" t="s">
        <v>1133</v>
      </c>
      <c r="L496" s="247" t="s">
        <v>154</v>
      </c>
      <c r="M496" s="414"/>
      <c r="N496" s="76"/>
      <c r="O496" s="76"/>
      <c r="P496" s="424"/>
      <c r="Q496" s="424"/>
      <c r="R496" s="424"/>
      <c r="S496" s="424"/>
      <c r="T496" s="424"/>
      <c r="U496" s="424"/>
      <c r="V496" s="424"/>
      <c r="W496" s="424"/>
      <c r="X496" s="424"/>
      <c r="Y496" s="424"/>
      <c r="Z496" s="424"/>
      <c r="AA496" s="424"/>
      <c r="AB496" s="424"/>
      <c r="AC496" s="424"/>
      <c r="AD496" s="424"/>
      <c r="AE496" s="424"/>
      <c r="AF496" s="424"/>
      <c r="AG496" s="424"/>
      <c r="AH496" s="424"/>
      <c r="AI496" s="424"/>
      <c r="AJ496" s="424"/>
      <c r="AK496" s="424"/>
      <c r="AL496" s="424"/>
      <c r="AM496" s="424"/>
      <c r="AN496" s="424"/>
      <c r="AO496" s="424"/>
      <c r="AP496" s="424"/>
      <c r="AQ496" s="424"/>
      <c r="AR496" s="424"/>
      <c r="AS496" s="424"/>
      <c r="AT496" s="424"/>
      <c r="AU496" s="424"/>
      <c r="AV496" s="424"/>
      <c r="AW496" s="424"/>
      <c r="AX496" s="424"/>
      <c r="AY496" s="424"/>
    </row>
    <row r="497" spans="1:51" s="331" customFormat="1">
      <c r="A497" s="476">
        <v>45918</v>
      </c>
      <c r="B497" s="469" t="s">
        <v>2100</v>
      </c>
      <c r="C497" s="462" t="s">
        <v>173</v>
      </c>
      <c r="D497" s="462" t="s">
        <v>118</v>
      </c>
      <c r="E497" s="359">
        <v>1000</v>
      </c>
      <c r="F497" s="463">
        <f t="shared" si="9"/>
        <v>1.8744037053212446</v>
      </c>
      <c r="G497" s="464">
        <v>533.50300000000004</v>
      </c>
      <c r="H497" s="465" t="s">
        <v>152</v>
      </c>
      <c r="I497" s="469" t="s">
        <v>2868</v>
      </c>
      <c r="J497" s="247" t="s">
        <v>97</v>
      </c>
      <c r="K497" s="247" t="s">
        <v>1133</v>
      </c>
      <c r="L497" s="247" t="s">
        <v>154</v>
      </c>
      <c r="M497" s="414"/>
      <c r="N497" s="414"/>
      <c r="O497" s="414"/>
      <c r="P497" s="424"/>
      <c r="Q497" s="424"/>
      <c r="R497" s="424"/>
      <c r="S497" s="424"/>
      <c r="T497" s="424"/>
      <c r="U497" s="424"/>
      <c r="V497" s="424"/>
      <c r="W497" s="424"/>
      <c r="X497" s="424"/>
      <c r="Y497" s="424"/>
      <c r="Z497" s="424"/>
      <c r="AA497" s="424"/>
      <c r="AB497" s="424"/>
      <c r="AC497" s="424"/>
      <c r="AD497" s="424"/>
      <c r="AE497" s="424"/>
      <c r="AF497" s="424"/>
      <c r="AG497" s="424"/>
      <c r="AH497" s="424"/>
      <c r="AI497" s="424"/>
      <c r="AJ497" s="424"/>
      <c r="AK497" s="424"/>
      <c r="AL497" s="424"/>
      <c r="AM497" s="424"/>
      <c r="AN497" s="424"/>
      <c r="AO497" s="424"/>
      <c r="AP497" s="424"/>
      <c r="AQ497" s="424"/>
      <c r="AR497" s="424"/>
      <c r="AS497" s="424"/>
      <c r="AT497" s="424"/>
      <c r="AU497" s="424"/>
      <c r="AV497" s="424"/>
      <c r="AW497" s="424"/>
      <c r="AX497" s="424"/>
      <c r="AY497" s="424"/>
    </row>
    <row r="498" spans="1:51" s="331" customFormat="1">
      <c r="A498" s="476">
        <v>45918</v>
      </c>
      <c r="B498" s="469" t="s">
        <v>2101</v>
      </c>
      <c r="C498" s="462" t="s">
        <v>173</v>
      </c>
      <c r="D498" s="462" t="s">
        <v>118</v>
      </c>
      <c r="E498" s="359">
        <v>1000</v>
      </c>
      <c r="F498" s="463">
        <f t="shared" si="9"/>
        <v>1.8744037053212446</v>
      </c>
      <c r="G498" s="464">
        <v>533.50300000000004</v>
      </c>
      <c r="H498" s="465" t="s">
        <v>152</v>
      </c>
      <c r="I498" s="469" t="s">
        <v>2868</v>
      </c>
      <c r="J498" s="247" t="s">
        <v>97</v>
      </c>
      <c r="K498" s="247" t="s">
        <v>1133</v>
      </c>
      <c r="L498" s="247" t="s">
        <v>154</v>
      </c>
      <c r="M498" s="414"/>
      <c r="N498" s="414"/>
      <c r="O498" s="414"/>
      <c r="P498" s="424"/>
      <c r="Q498" s="424"/>
      <c r="R498" s="424"/>
      <c r="S498" s="424"/>
      <c r="T498" s="424"/>
      <c r="U498" s="424"/>
      <c r="V498" s="424"/>
      <c r="W498" s="424"/>
      <c r="X498" s="424"/>
      <c r="Y498" s="424"/>
      <c r="Z498" s="424"/>
      <c r="AA498" s="424"/>
      <c r="AB498" s="424"/>
      <c r="AC498" s="424"/>
      <c r="AD498" s="424"/>
      <c r="AE498" s="424"/>
      <c r="AF498" s="424"/>
      <c r="AG498" s="424"/>
      <c r="AH498" s="424"/>
      <c r="AI498" s="424"/>
      <c r="AJ498" s="424"/>
      <c r="AK498" s="424"/>
      <c r="AL498" s="424"/>
      <c r="AM498" s="424"/>
      <c r="AN498" s="424"/>
      <c r="AO498" s="424"/>
      <c r="AP498" s="424"/>
      <c r="AQ498" s="424"/>
      <c r="AR498" s="424"/>
      <c r="AS498" s="424"/>
      <c r="AT498" s="424"/>
      <c r="AU498" s="424"/>
      <c r="AV498" s="424"/>
      <c r="AW498" s="424"/>
      <c r="AX498" s="424"/>
      <c r="AY498" s="424"/>
    </row>
    <row r="499" spans="1:51" s="331" customFormat="1">
      <c r="A499" s="467">
        <v>45918</v>
      </c>
      <c r="B499" s="469" t="s">
        <v>2945</v>
      </c>
      <c r="C499" s="469" t="s">
        <v>173</v>
      </c>
      <c r="D499" s="469" t="s">
        <v>117</v>
      </c>
      <c r="E499" s="470">
        <v>500</v>
      </c>
      <c r="F499" s="463">
        <f t="shared" si="9"/>
        <v>0.93720185266062228</v>
      </c>
      <c r="G499" s="464">
        <v>533.50300000000004</v>
      </c>
      <c r="H499" s="469" t="s">
        <v>583</v>
      </c>
      <c r="I499" s="469" t="s">
        <v>2970</v>
      </c>
      <c r="J499" s="247" t="s">
        <v>97</v>
      </c>
      <c r="K499" s="247" t="s">
        <v>1133</v>
      </c>
      <c r="L499" s="247" t="s">
        <v>154</v>
      </c>
      <c r="M499" s="414"/>
      <c r="N499" s="414"/>
      <c r="O499" s="414"/>
      <c r="P499" s="424"/>
      <c r="Q499" s="424"/>
      <c r="R499" s="424"/>
      <c r="S499" s="424"/>
      <c r="T499" s="424"/>
      <c r="U499" s="424"/>
      <c r="V499" s="424"/>
      <c r="W499" s="424"/>
      <c r="X499" s="424"/>
      <c r="Y499" s="424"/>
      <c r="Z499" s="424"/>
      <c r="AA499" s="424"/>
      <c r="AB499" s="424"/>
      <c r="AC499" s="424"/>
      <c r="AD499" s="424"/>
      <c r="AE499" s="424"/>
      <c r="AF499" s="424"/>
      <c r="AG499" s="424"/>
      <c r="AH499" s="424"/>
      <c r="AI499" s="424"/>
      <c r="AJ499" s="424"/>
      <c r="AK499" s="424"/>
      <c r="AL499" s="424"/>
      <c r="AM499" s="424"/>
      <c r="AN499" s="424"/>
      <c r="AO499" s="424"/>
      <c r="AP499" s="424"/>
      <c r="AQ499" s="424"/>
      <c r="AR499" s="424"/>
      <c r="AS499" s="424"/>
      <c r="AT499" s="424"/>
      <c r="AU499" s="424"/>
      <c r="AV499" s="424"/>
      <c r="AW499" s="424"/>
      <c r="AX499" s="424"/>
      <c r="AY499" s="424"/>
    </row>
    <row r="500" spans="1:51" s="331" customFormat="1">
      <c r="A500" s="467">
        <v>45918</v>
      </c>
      <c r="B500" s="469" t="s">
        <v>2946</v>
      </c>
      <c r="C500" s="469" t="s">
        <v>173</v>
      </c>
      <c r="D500" s="469" t="s">
        <v>117</v>
      </c>
      <c r="E500" s="470">
        <v>500</v>
      </c>
      <c r="F500" s="463">
        <f t="shared" si="9"/>
        <v>0.93720185266062228</v>
      </c>
      <c r="G500" s="464">
        <v>533.50300000000004</v>
      </c>
      <c r="H500" s="469" t="s">
        <v>583</v>
      </c>
      <c r="I500" s="469" t="s">
        <v>2970</v>
      </c>
      <c r="J500" s="247" t="s">
        <v>97</v>
      </c>
      <c r="K500" s="247" t="s">
        <v>1133</v>
      </c>
      <c r="L500" s="247" t="s">
        <v>154</v>
      </c>
      <c r="M500" s="335"/>
      <c r="N500" s="335"/>
      <c r="O500" s="335"/>
      <c r="P500" s="424"/>
      <c r="Q500" s="424"/>
      <c r="R500" s="424"/>
      <c r="S500" s="424"/>
      <c r="T500" s="424"/>
      <c r="U500" s="424"/>
      <c r="V500" s="424"/>
      <c r="W500" s="424"/>
      <c r="X500" s="424"/>
      <c r="Y500" s="424"/>
      <c r="Z500" s="424"/>
      <c r="AA500" s="424"/>
      <c r="AB500" s="424"/>
      <c r="AC500" s="424"/>
      <c r="AD500" s="424"/>
      <c r="AE500" s="424"/>
      <c r="AF500" s="424"/>
      <c r="AG500" s="424"/>
      <c r="AH500" s="424"/>
      <c r="AI500" s="424"/>
      <c r="AJ500" s="424"/>
      <c r="AK500" s="424"/>
      <c r="AL500" s="424"/>
      <c r="AM500" s="424"/>
      <c r="AN500" s="424"/>
      <c r="AO500" s="424"/>
      <c r="AP500" s="424"/>
      <c r="AQ500" s="424"/>
      <c r="AR500" s="424"/>
      <c r="AS500" s="424"/>
      <c r="AT500" s="424"/>
      <c r="AU500" s="424"/>
      <c r="AV500" s="424"/>
      <c r="AW500" s="424"/>
      <c r="AX500" s="424"/>
      <c r="AY500" s="424"/>
    </row>
    <row r="501" spans="1:51" s="331" customFormat="1">
      <c r="A501" s="471">
        <v>45918</v>
      </c>
      <c r="B501" s="247" t="s">
        <v>2358</v>
      </c>
      <c r="C501" s="469" t="s">
        <v>181</v>
      </c>
      <c r="D501" s="469" t="s">
        <v>117</v>
      </c>
      <c r="E501" s="468">
        <v>7200</v>
      </c>
      <c r="F501" s="463">
        <f t="shared" si="9"/>
        <v>13.49570667831296</v>
      </c>
      <c r="G501" s="464">
        <v>533.50300000000004</v>
      </c>
      <c r="H501" s="469" t="s">
        <v>583</v>
      </c>
      <c r="I501" s="247" t="s">
        <v>2979</v>
      </c>
      <c r="J501" s="247" t="s">
        <v>97</v>
      </c>
      <c r="K501" s="247" t="s">
        <v>1133</v>
      </c>
      <c r="L501" s="247" t="s">
        <v>154</v>
      </c>
      <c r="M501" s="335"/>
      <c r="N501" s="335"/>
      <c r="O501" s="335"/>
      <c r="P501" s="424"/>
      <c r="Q501" s="424"/>
      <c r="R501" s="424"/>
      <c r="S501" s="424"/>
      <c r="T501" s="424"/>
      <c r="U501" s="424"/>
      <c r="V501" s="424"/>
      <c r="W501" s="424"/>
      <c r="X501" s="424"/>
      <c r="Y501" s="424"/>
      <c r="Z501" s="424"/>
      <c r="AA501" s="424"/>
      <c r="AB501" s="424"/>
      <c r="AC501" s="424"/>
      <c r="AD501" s="424"/>
      <c r="AE501" s="424"/>
      <c r="AF501" s="424"/>
      <c r="AG501" s="424"/>
      <c r="AH501" s="424"/>
      <c r="AI501" s="424"/>
      <c r="AJ501" s="424"/>
      <c r="AK501" s="424"/>
      <c r="AL501" s="424"/>
      <c r="AM501" s="424"/>
      <c r="AN501" s="424"/>
      <c r="AO501" s="424"/>
      <c r="AP501" s="424"/>
      <c r="AQ501" s="424"/>
      <c r="AR501" s="424"/>
      <c r="AS501" s="424"/>
      <c r="AT501" s="424"/>
      <c r="AU501" s="424"/>
      <c r="AV501" s="424"/>
      <c r="AW501" s="424"/>
      <c r="AX501" s="424"/>
      <c r="AY501" s="424"/>
    </row>
    <row r="502" spans="1:51" s="331" customFormat="1">
      <c r="A502" s="474">
        <v>45918</v>
      </c>
      <c r="B502" s="475" t="s">
        <v>3064</v>
      </c>
      <c r="C502" s="475" t="s">
        <v>173</v>
      </c>
      <c r="D502" s="475" t="s">
        <v>120</v>
      </c>
      <c r="E502" s="475">
        <v>1500</v>
      </c>
      <c r="F502" s="463">
        <f t="shared" si="9"/>
        <v>2.8116055579818666</v>
      </c>
      <c r="G502" s="464">
        <v>533.50300000000004</v>
      </c>
      <c r="H502" s="475" t="s">
        <v>183</v>
      </c>
      <c r="I502" s="475" t="s">
        <v>3086</v>
      </c>
      <c r="J502" s="247" t="s">
        <v>97</v>
      </c>
      <c r="K502" s="247" t="s">
        <v>1133</v>
      </c>
      <c r="L502" s="247" t="s">
        <v>154</v>
      </c>
      <c r="M502" s="414"/>
      <c r="N502" s="414"/>
      <c r="O502" s="414"/>
      <c r="P502" s="424"/>
      <c r="Q502" s="424"/>
      <c r="R502" s="424"/>
      <c r="S502" s="424"/>
      <c r="T502" s="424"/>
      <c r="U502" s="424"/>
      <c r="V502" s="424"/>
      <c r="W502" s="424"/>
      <c r="X502" s="424"/>
      <c r="Y502" s="424"/>
      <c r="Z502" s="424"/>
      <c r="AA502" s="424"/>
      <c r="AB502" s="424"/>
      <c r="AC502" s="424"/>
      <c r="AD502" s="424"/>
      <c r="AE502" s="424"/>
      <c r="AF502" s="424"/>
      <c r="AG502" s="424"/>
      <c r="AH502" s="424"/>
      <c r="AI502" s="424"/>
      <c r="AJ502" s="424"/>
      <c r="AK502" s="424"/>
      <c r="AL502" s="424"/>
      <c r="AM502" s="424"/>
      <c r="AN502" s="424"/>
      <c r="AO502" s="424"/>
      <c r="AP502" s="424"/>
      <c r="AQ502" s="424"/>
      <c r="AR502" s="424"/>
      <c r="AS502" s="424"/>
      <c r="AT502" s="424"/>
      <c r="AU502" s="424"/>
      <c r="AV502" s="424"/>
      <c r="AW502" s="424"/>
      <c r="AX502" s="424"/>
      <c r="AY502" s="424"/>
    </row>
    <row r="503" spans="1:51" s="331" customFormat="1">
      <c r="A503" s="474">
        <v>45918</v>
      </c>
      <c r="B503" s="475" t="s">
        <v>3065</v>
      </c>
      <c r="C503" s="475" t="s">
        <v>173</v>
      </c>
      <c r="D503" s="475" t="s">
        <v>120</v>
      </c>
      <c r="E503" s="475">
        <v>1000</v>
      </c>
      <c r="F503" s="463">
        <f t="shared" si="9"/>
        <v>1.8744037053212446</v>
      </c>
      <c r="G503" s="464">
        <v>533.50300000000004</v>
      </c>
      <c r="H503" s="475" t="s">
        <v>183</v>
      </c>
      <c r="I503" s="475" t="s">
        <v>3086</v>
      </c>
      <c r="J503" s="247" t="s">
        <v>97</v>
      </c>
      <c r="K503" s="247" t="s">
        <v>1133</v>
      </c>
      <c r="L503" s="247" t="s">
        <v>154</v>
      </c>
      <c r="M503" s="414"/>
      <c r="N503" s="414"/>
      <c r="O503" s="414"/>
      <c r="P503" s="424"/>
      <c r="Q503" s="424"/>
      <c r="R503" s="424"/>
      <c r="S503" s="424"/>
      <c r="T503" s="424"/>
      <c r="U503" s="424"/>
      <c r="V503" s="424"/>
      <c r="W503" s="424"/>
      <c r="X503" s="424"/>
      <c r="Y503" s="424"/>
      <c r="Z503" s="424"/>
      <c r="AA503" s="424"/>
      <c r="AB503" s="424"/>
      <c r="AC503" s="424"/>
      <c r="AD503" s="424"/>
      <c r="AE503" s="424"/>
      <c r="AF503" s="424"/>
      <c r="AG503" s="424"/>
      <c r="AH503" s="424"/>
      <c r="AI503" s="424"/>
      <c r="AJ503" s="424"/>
      <c r="AK503" s="424"/>
      <c r="AL503" s="424"/>
      <c r="AM503" s="424"/>
      <c r="AN503" s="424"/>
      <c r="AO503" s="424"/>
      <c r="AP503" s="424"/>
      <c r="AQ503" s="424"/>
      <c r="AR503" s="424"/>
      <c r="AS503" s="424"/>
      <c r="AT503" s="424"/>
      <c r="AU503" s="424"/>
      <c r="AV503" s="424"/>
      <c r="AW503" s="424"/>
      <c r="AX503" s="424"/>
      <c r="AY503" s="424"/>
    </row>
    <row r="504" spans="1:51" s="331" customFormat="1">
      <c r="A504" s="474">
        <v>45918</v>
      </c>
      <c r="B504" s="475" t="s">
        <v>3066</v>
      </c>
      <c r="C504" s="475" t="s">
        <v>173</v>
      </c>
      <c r="D504" s="475" t="s">
        <v>120</v>
      </c>
      <c r="E504" s="475">
        <v>1000</v>
      </c>
      <c r="F504" s="463">
        <f t="shared" si="9"/>
        <v>1.8744037053212446</v>
      </c>
      <c r="G504" s="464">
        <v>533.50300000000004</v>
      </c>
      <c r="H504" s="475" t="s">
        <v>183</v>
      </c>
      <c r="I504" s="475" t="s">
        <v>3086</v>
      </c>
      <c r="J504" s="247" t="s">
        <v>97</v>
      </c>
      <c r="K504" s="247" t="s">
        <v>1133</v>
      </c>
      <c r="L504" s="247" t="s">
        <v>154</v>
      </c>
      <c r="M504" s="414"/>
      <c r="N504" s="414"/>
      <c r="O504" s="414"/>
      <c r="P504" s="424"/>
      <c r="Q504" s="424"/>
      <c r="R504" s="424"/>
      <c r="S504" s="424"/>
      <c r="T504" s="424"/>
      <c r="U504" s="424"/>
      <c r="V504" s="424"/>
      <c r="W504" s="424"/>
      <c r="X504" s="424"/>
      <c r="Y504" s="424"/>
      <c r="Z504" s="424"/>
      <c r="AA504" s="424"/>
      <c r="AB504" s="424"/>
      <c r="AC504" s="424"/>
      <c r="AD504" s="424"/>
      <c r="AE504" s="424"/>
      <c r="AF504" s="424"/>
      <c r="AG504" s="424"/>
      <c r="AH504" s="424"/>
      <c r="AI504" s="424"/>
      <c r="AJ504" s="424"/>
      <c r="AK504" s="424"/>
      <c r="AL504" s="424"/>
      <c r="AM504" s="424"/>
      <c r="AN504" s="424"/>
      <c r="AO504" s="424"/>
      <c r="AP504" s="424"/>
      <c r="AQ504" s="424"/>
      <c r="AR504" s="424"/>
      <c r="AS504" s="424"/>
      <c r="AT504" s="424"/>
      <c r="AU504" s="424"/>
      <c r="AV504" s="424"/>
      <c r="AW504" s="424"/>
      <c r="AX504" s="424"/>
      <c r="AY504" s="424"/>
    </row>
    <row r="505" spans="1:51" s="331" customFormat="1">
      <c r="A505" s="474">
        <v>45918</v>
      </c>
      <c r="B505" s="475" t="s">
        <v>3067</v>
      </c>
      <c r="C505" s="475" t="s">
        <v>173</v>
      </c>
      <c r="D505" s="475" t="s">
        <v>120</v>
      </c>
      <c r="E505" s="475">
        <v>1000</v>
      </c>
      <c r="F505" s="463">
        <f t="shared" si="9"/>
        <v>1.8744037053212446</v>
      </c>
      <c r="G505" s="464">
        <v>533.50300000000004</v>
      </c>
      <c r="H505" s="475" t="s">
        <v>183</v>
      </c>
      <c r="I505" s="475" t="s">
        <v>3086</v>
      </c>
      <c r="J505" s="247" t="s">
        <v>97</v>
      </c>
      <c r="K505" s="247" t="s">
        <v>1133</v>
      </c>
      <c r="L505" s="247" t="s">
        <v>154</v>
      </c>
      <c r="M505" s="414"/>
      <c r="N505" s="414"/>
      <c r="O505" s="414"/>
      <c r="P505" s="424"/>
      <c r="Q505" s="424"/>
      <c r="R505" s="424"/>
      <c r="S505" s="424"/>
      <c r="T505" s="424"/>
      <c r="U505" s="424"/>
      <c r="V505" s="424"/>
      <c r="W505" s="424"/>
      <c r="X505" s="424"/>
      <c r="Y505" s="424"/>
      <c r="Z505" s="424"/>
      <c r="AA505" s="424"/>
      <c r="AB505" s="424"/>
      <c r="AC505" s="424"/>
      <c r="AD505" s="424"/>
      <c r="AE505" s="424"/>
      <c r="AF505" s="424"/>
      <c r="AG505" s="424"/>
      <c r="AH505" s="424"/>
      <c r="AI505" s="424"/>
      <c r="AJ505" s="424"/>
      <c r="AK505" s="424"/>
      <c r="AL505" s="424"/>
      <c r="AM505" s="424"/>
      <c r="AN505" s="424"/>
      <c r="AO505" s="424"/>
      <c r="AP505" s="424"/>
      <c r="AQ505" s="424"/>
      <c r="AR505" s="424"/>
      <c r="AS505" s="424"/>
      <c r="AT505" s="424"/>
      <c r="AU505" s="424"/>
      <c r="AV505" s="424"/>
      <c r="AW505" s="424"/>
      <c r="AX505" s="424"/>
      <c r="AY505" s="424"/>
    </row>
    <row r="506" spans="1:51" s="331" customFormat="1">
      <c r="A506" s="474">
        <v>45918</v>
      </c>
      <c r="B506" s="475" t="s">
        <v>3068</v>
      </c>
      <c r="C506" s="475" t="s">
        <v>173</v>
      </c>
      <c r="D506" s="475" t="s">
        <v>120</v>
      </c>
      <c r="E506" s="475">
        <v>1000</v>
      </c>
      <c r="F506" s="463">
        <f t="shared" si="9"/>
        <v>1.8744037053212446</v>
      </c>
      <c r="G506" s="464">
        <v>533.50300000000004</v>
      </c>
      <c r="H506" s="475" t="s">
        <v>183</v>
      </c>
      <c r="I506" s="475" t="s">
        <v>3086</v>
      </c>
      <c r="J506" s="247" t="s">
        <v>97</v>
      </c>
      <c r="K506" s="247" t="s">
        <v>1133</v>
      </c>
      <c r="L506" s="247" t="s">
        <v>154</v>
      </c>
      <c r="M506" s="414"/>
      <c r="N506" s="414"/>
      <c r="O506" s="414"/>
      <c r="P506" s="424"/>
      <c r="Q506" s="424"/>
      <c r="R506" s="424"/>
      <c r="S506" s="424"/>
      <c r="T506" s="424"/>
      <c r="U506" s="424"/>
      <c r="V506" s="424"/>
      <c r="W506" s="424"/>
      <c r="X506" s="424"/>
      <c r="Y506" s="424"/>
      <c r="Z506" s="424"/>
      <c r="AA506" s="424"/>
      <c r="AB506" s="424"/>
      <c r="AC506" s="424"/>
      <c r="AD506" s="424"/>
      <c r="AE506" s="424"/>
      <c r="AF506" s="424"/>
      <c r="AG506" s="424"/>
      <c r="AH506" s="424"/>
      <c r="AI506" s="424"/>
      <c r="AJ506" s="424"/>
      <c r="AK506" s="424"/>
      <c r="AL506" s="424"/>
      <c r="AM506" s="424"/>
      <c r="AN506" s="424"/>
      <c r="AO506" s="424"/>
      <c r="AP506" s="424"/>
      <c r="AQ506" s="424"/>
      <c r="AR506" s="424"/>
      <c r="AS506" s="424"/>
      <c r="AT506" s="424"/>
      <c r="AU506" s="424"/>
      <c r="AV506" s="424"/>
      <c r="AW506" s="424"/>
      <c r="AX506" s="424"/>
      <c r="AY506" s="424"/>
    </row>
    <row r="507" spans="1:51" s="331" customFormat="1">
      <c r="A507" s="476">
        <v>45918</v>
      </c>
      <c r="B507" s="469" t="s">
        <v>3160</v>
      </c>
      <c r="C507" s="469" t="s">
        <v>173</v>
      </c>
      <c r="D507" s="469" t="s">
        <v>120</v>
      </c>
      <c r="E507" s="469">
        <v>1000</v>
      </c>
      <c r="F507" s="463">
        <f t="shared" si="9"/>
        <v>1.8744037053212446</v>
      </c>
      <c r="G507" s="464">
        <v>533.50300000000004</v>
      </c>
      <c r="H507" s="469" t="s">
        <v>174</v>
      </c>
      <c r="I507" s="469" t="s">
        <v>3196</v>
      </c>
      <c r="J507" s="247" t="s">
        <v>97</v>
      </c>
      <c r="K507" s="247" t="s">
        <v>1133</v>
      </c>
      <c r="L507" s="247" t="s">
        <v>154</v>
      </c>
      <c r="M507" s="414"/>
      <c r="N507" s="414"/>
      <c r="O507" s="414"/>
      <c r="P507" s="424"/>
      <c r="Q507" s="424"/>
      <c r="R507" s="424"/>
      <c r="S507" s="424"/>
      <c r="T507" s="424"/>
      <c r="U507" s="424"/>
      <c r="V507" s="424"/>
      <c r="W507" s="424"/>
      <c r="X507" s="424"/>
      <c r="Y507" s="424"/>
      <c r="Z507" s="424"/>
      <c r="AA507" s="424"/>
      <c r="AB507" s="424"/>
      <c r="AC507" s="424"/>
      <c r="AD507" s="424"/>
      <c r="AE507" s="424"/>
      <c r="AF507" s="424"/>
      <c r="AG507" s="424"/>
      <c r="AH507" s="424"/>
      <c r="AI507" s="424"/>
      <c r="AJ507" s="424"/>
      <c r="AK507" s="424"/>
      <c r="AL507" s="424"/>
      <c r="AM507" s="424"/>
      <c r="AN507" s="424"/>
      <c r="AO507" s="424"/>
      <c r="AP507" s="424"/>
      <c r="AQ507" s="424"/>
      <c r="AR507" s="424"/>
      <c r="AS507" s="424"/>
      <c r="AT507" s="424"/>
      <c r="AU507" s="424"/>
      <c r="AV507" s="424"/>
      <c r="AW507" s="424"/>
      <c r="AX507" s="424"/>
      <c r="AY507" s="424"/>
    </row>
    <row r="508" spans="1:51" s="331" customFormat="1">
      <c r="A508" s="476">
        <v>45918</v>
      </c>
      <c r="B508" s="469" t="s">
        <v>3161</v>
      </c>
      <c r="C508" s="469" t="s">
        <v>173</v>
      </c>
      <c r="D508" s="469" t="s">
        <v>120</v>
      </c>
      <c r="E508" s="469">
        <v>1000</v>
      </c>
      <c r="F508" s="463">
        <f t="shared" si="9"/>
        <v>1.8744037053212446</v>
      </c>
      <c r="G508" s="464">
        <v>533.50300000000004</v>
      </c>
      <c r="H508" s="469" t="s">
        <v>174</v>
      </c>
      <c r="I508" s="469" t="s">
        <v>3196</v>
      </c>
      <c r="J508" s="247" t="s">
        <v>97</v>
      </c>
      <c r="K508" s="247" t="s">
        <v>1133</v>
      </c>
      <c r="L508" s="247" t="s">
        <v>154</v>
      </c>
      <c r="M508" s="414"/>
      <c r="N508" s="414"/>
      <c r="O508" s="414"/>
      <c r="P508" s="424"/>
      <c r="Q508" s="424"/>
      <c r="R508" s="424"/>
      <c r="S508" s="424"/>
      <c r="T508" s="424"/>
      <c r="U508" s="424"/>
      <c r="V508" s="424"/>
      <c r="W508" s="424"/>
      <c r="X508" s="424"/>
      <c r="Y508" s="424"/>
      <c r="Z508" s="424"/>
      <c r="AA508" s="424"/>
      <c r="AB508" s="424"/>
      <c r="AC508" s="424"/>
      <c r="AD508" s="424"/>
      <c r="AE508" s="424"/>
      <c r="AF508" s="424"/>
      <c r="AG508" s="424"/>
      <c r="AH508" s="424"/>
      <c r="AI508" s="424"/>
      <c r="AJ508" s="424"/>
      <c r="AK508" s="424"/>
      <c r="AL508" s="424"/>
      <c r="AM508" s="424"/>
      <c r="AN508" s="424"/>
      <c r="AO508" s="424"/>
      <c r="AP508" s="424"/>
      <c r="AQ508" s="424"/>
      <c r="AR508" s="424"/>
      <c r="AS508" s="424"/>
      <c r="AT508" s="424"/>
      <c r="AU508" s="424"/>
      <c r="AV508" s="424"/>
      <c r="AW508" s="424"/>
      <c r="AX508" s="424"/>
      <c r="AY508" s="424"/>
    </row>
    <row r="509" spans="1:51" s="331" customFormat="1">
      <c r="A509" s="476">
        <v>45918</v>
      </c>
      <c r="B509" s="469" t="s">
        <v>3162</v>
      </c>
      <c r="C509" s="469" t="s">
        <v>173</v>
      </c>
      <c r="D509" s="469" t="s">
        <v>120</v>
      </c>
      <c r="E509" s="469">
        <v>1000</v>
      </c>
      <c r="F509" s="463">
        <f t="shared" si="9"/>
        <v>1.8744037053212446</v>
      </c>
      <c r="G509" s="464">
        <v>533.50300000000004</v>
      </c>
      <c r="H509" s="469" t="s">
        <v>174</v>
      </c>
      <c r="I509" s="469" t="s">
        <v>3196</v>
      </c>
      <c r="J509" s="247" t="s">
        <v>97</v>
      </c>
      <c r="K509" s="247" t="s">
        <v>1133</v>
      </c>
      <c r="L509" s="247" t="s">
        <v>154</v>
      </c>
      <c r="M509" s="414"/>
      <c r="N509" s="414"/>
      <c r="O509" s="414"/>
      <c r="P509" s="424"/>
      <c r="Q509" s="424"/>
      <c r="R509" s="424"/>
      <c r="S509" s="424"/>
      <c r="T509" s="424"/>
      <c r="U509" s="424"/>
      <c r="V509" s="424"/>
      <c r="W509" s="424"/>
      <c r="X509" s="424"/>
      <c r="Y509" s="424"/>
      <c r="Z509" s="424"/>
      <c r="AA509" s="424"/>
      <c r="AB509" s="424"/>
      <c r="AC509" s="424"/>
      <c r="AD509" s="424"/>
      <c r="AE509" s="424"/>
      <c r="AF509" s="424"/>
      <c r="AG509" s="424"/>
      <c r="AH509" s="424"/>
      <c r="AI509" s="424"/>
      <c r="AJ509" s="424"/>
      <c r="AK509" s="424"/>
      <c r="AL509" s="424"/>
      <c r="AM509" s="424"/>
      <c r="AN509" s="424"/>
      <c r="AO509" s="424"/>
      <c r="AP509" s="424"/>
      <c r="AQ509" s="424"/>
      <c r="AR509" s="424"/>
      <c r="AS509" s="424"/>
      <c r="AT509" s="424"/>
      <c r="AU509" s="424"/>
      <c r="AV509" s="424"/>
      <c r="AW509" s="424"/>
      <c r="AX509" s="424"/>
      <c r="AY509" s="424"/>
    </row>
    <row r="510" spans="1:51" s="331" customFormat="1">
      <c r="A510" s="476">
        <v>45918</v>
      </c>
      <c r="B510" s="469" t="s">
        <v>3163</v>
      </c>
      <c r="C510" s="469" t="s">
        <v>173</v>
      </c>
      <c r="D510" s="469" t="s">
        <v>120</v>
      </c>
      <c r="E510" s="469">
        <v>1000</v>
      </c>
      <c r="F510" s="463">
        <f t="shared" si="9"/>
        <v>1.8744037053212446</v>
      </c>
      <c r="G510" s="464">
        <v>533.50300000000004</v>
      </c>
      <c r="H510" s="469" t="s">
        <v>174</v>
      </c>
      <c r="I510" s="469" t="s">
        <v>3196</v>
      </c>
      <c r="J510" s="247" t="s">
        <v>97</v>
      </c>
      <c r="K510" s="247" t="s">
        <v>1133</v>
      </c>
      <c r="L510" s="247" t="s">
        <v>154</v>
      </c>
      <c r="M510" s="414"/>
      <c r="N510" s="414"/>
      <c r="O510" s="414"/>
      <c r="P510" s="424"/>
      <c r="Q510" s="424"/>
      <c r="R510" s="424"/>
      <c r="S510" s="424"/>
      <c r="T510" s="424"/>
      <c r="U510" s="424"/>
      <c r="V510" s="424"/>
      <c r="W510" s="424"/>
      <c r="X510" s="424"/>
      <c r="Y510" s="424"/>
      <c r="Z510" s="424"/>
      <c r="AA510" s="424"/>
      <c r="AB510" s="424"/>
      <c r="AC510" s="424"/>
      <c r="AD510" s="424"/>
      <c r="AE510" s="424"/>
      <c r="AF510" s="424"/>
      <c r="AG510" s="424"/>
      <c r="AH510" s="424"/>
      <c r="AI510" s="424"/>
      <c r="AJ510" s="424"/>
      <c r="AK510" s="424"/>
      <c r="AL510" s="424"/>
      <c r="AM510" s="424"/>
      <c r="AN510" s="424"/>
      <c r="AO510" s="424"/>
      <c r="AP510" s="424"/>
      <c r="AQ510" s="424"/>
      <c r="AR510" s="424"/>
      <c r="AS510" s="424"/>
      <c r="AT510" s="424"/>
      <c r="AU510" s="424"/>
      <c r="AV510" s="424"/>
      <c r="AW510" s="424"/>
      <c r="AX510" s="424"/>
      <c r="AY510" s="424"/>
    </row>
    <row r="511" spans="1:51" s="331" customFormat="1">
      <c r="A511" s="476">
        <v>45918</v>
      </c>
      <c r="B511" s="469" t="s">
        <v>3164</v>
      </c>
      <c r="C511" s="469" t="s">
        <v>173</v>
      </c>
      <c r="D511" s="469" t="s">
        <v>120</v>
      </c>
      <c r="E511" s="469">
        <v>1000</v>
      </c>
      <c r="F511" s="463">
        <f t="shared" si="9"/>
        <v>1.8744037053212446</v>
      </c>
      <c r="G511" s="464">
        <v>533.50300000000004</v>
      </c>
      <c r="H511" s="469" t="s">
        <v>174</v>
      </c>
      <c r="I511" s="469" t="s">
        <v>3196</v>
      </c>
      <c r="J511" s="247" t="s">
        <v>97</v>
      </c>
      <c r="K511" s="247" t="s">
        <v>1133</v>
      </c>
      <c r="L511" s="247" t="s">
        <v>154</v>
      </c>
      <c r="M511" s="414"/>
      <c r="N511" s="414"/>
      <c r="O511" s="414"/>
      <c r="P511" s="424"/>
      <c r="Q511" s="424"/>
      <c r="R511" s="424"/>
      <c r="S511" s="424"/>
      <c r="T511" s="424"/>
      <c r="U511" s="424"/>
      <c r="V511" s="424"/>
      <c r="W511" s="424"/>
      <c r="X511" s="424"/>
      <c r="Y511" s="424"/>
      <c r="Z511" s="424"/>
      <c r="AA511" s="424"/>
      <c r="AB511" s="424"/>
      <c r="AC511" s="424"/>
      <c r="AD511" s="424"/>
      <c r="AE511" s="424"/>
      <c r="AF511" s="424"/>
      <c r="AG511" s="424"/>
      <c r="AH511" s="424"/>
      <c r="AI511" s="424"/>
      <c r="AJ511" s="424"/>
      <c r="AK511" s="424"/>
      <c r="AL511" s="424"/>
      <c r="AM511" s="424"/>
      <c r="AN511" s="424"/>
      <c r="AO511" s="424"/>
      <c r="AP511" s="424"/>
      <c r="AQ511" s="424"/>
      <c r="AR511" s="424"/>
      <c r="AS511" s="424"/>
      <c r="AT511" s="424"/>
      <c r="AU511" s="424"/>
      <c r="AV511" s="424"/>
      <c r="AW511" s="424"/>
      <c r="AX511" s="424"/>
      <c r="AY511" s="424"/>
    </row>
    <row r="512" spans="1:51" s="331" customFormat="1">
      <c r="A512" s="476">
        <v>45918</v>
      </c>
      <c r="B512" s="469" t="s">
        <v>3623</v>
      </c>
      <c r="C512" s="469" t="s">
        <v>368</v>
      </c>
      <c r="D512" s="469" t="s">
        <v>120</v>
      </c>
      <c r="E512" s="469">
        <v>2000</v>
      </c>
      <c r="F512" s="463">
        <f t="shared" si="9"/>
        <v>3.7488074106424891</v>
      </c>
      <c r="G512" s="464">
        <v>533.50300000000004</v>
      </c>
      <c r="H512" s="469" t="s">
        <v>174</v>
      </c>
      <c r="I512" s="469" t="s">
        <v>3201</v>
      </c>
      <c r="J512" s="247" t="s">
        <v>97</v>
      </c>
      <c r="K512" s="247" t="s">
        <v>1133</v>
      </c>
      <c r="L512" s="247" t="s">
        <v>154</v>
      </c>
      <c r="M512" s="335"/>
      <c r="N512" s="335"/>
      <c r="O512" s="335"/>
      <c r="P512" s="424"/>
      <c r="Q512" s="424"/>
      <c r="R512" s="424"/>
      <c r="S512" s="424"/>
      <c r="T512" s="424"/>
      <c r="U512" s="424"/>
      <c r="V512" s="424"/>
      <c r="W512" s="424"/>
      <c r="X512" s="424"/>
      <c r="Y512" s="424"/>
      <c r="Z512" s="424"/>
      <c r="AA512" s="424"/>
      <c r="AB512" s="424"/>
      <c r="AC512" s="424"/>
      <c r="AD512" s="424"/>
      <c r="AE512" s="424"/>
      <c r="AF512" s="424"/>
      <c r="AG512" s="424"/>
      <c r="AH512" s="424"/>
      <c r="AI512" s="424"/>
      <c r="AJ512" s="424"/>
      <c r="AK512" s="424"/>
      <c r="AL512" s="424"/>
      <c r="AM512" s="424"/>
      <c r="AN512" s="424"/>
      <c r="AO512" s="424"/>
      <c r="AP512" s="424"/>
      <c r="AQ512" s="424"/>
      <c r="AR512" s="424"/>
      <c r="AS512" s="424"/>
      <c r="AT512" s="424"/>
      <c r="AU512" s="424"/>
      <c r="AV512" s="424"/>
      <c r="AW512" s="424"/>
      <c r="AX512" s="424"/>
      <c r="AY512" s="424"/>
    </row>
    <row r="513" spans="1:51" s="331" customFormat="1">
      <c r="A513" s="476">
        <v>45918</v>
      </c>
      <c r="B513" s="469" t="s">
        <v>3249</v>
      </c>
      <c r="C513" s="469" t="s">
        <v>173</v>
      </c>
      <c r="D513" s="469" t="s">
        <v>120</v>
      </c>
      <c r="E513" s="469">
        <v>2000</v>
      </c>
      <c r="F513" s="463">
        <f t="shared" si="9"/>
        <v>3.7488074106424891</v>
      </c>
      <c r="G513" s="464">
        <v>533.50300000000004</v>
      </c>
      <c r="H513" s="469" t="s">
        <v>316</v>
      </c>
      <c r="I513" s="469" t="s">
        <v>3260</v>
      </c>
      <c r="J513" s="247" t="s">
        <v>97</v>
      </c>
      <c r="K513" s="247" t="s">
        <v>1133</v>
      </c>
      <c r="L513" s="247" t="s">
        <v>154</v>
      </c>
      <c r="M513" s="335"/>
      <c r="N513" s="335"/>
      <c r="O513" s="335"/>
      <c r="P513" s="424"/>
      <c r="Q513" s="424"/>
      <c r="R513" s="424"/>
      <c r="S513" s="424"/>
      <c r="T513" s="424"/>
      <c r="U513" s="424"/>
      <c r="V513" s="424"/>
      <c r="W513" s="424"/>
      <c r="X513" s="424"/>
      <c r="Y513" s="424"/>
      <c r="Z513" s="424"/>
      <c r="AA513" s="424"/>
      <c r="AB513" s="424"/>
      <c r="AC513" s="424"/>
      <c r="AD513" s="424"/>
      <c r="AE513" s="424"/>
      <c r="AF513" s="424"/>
      <c r="AG513" s="424"/>
      <c r="AH513" s="424"/>
      <c r="AI513" s="424"/>
      <c r="AJ513" s="424"/>
      <c r="AK513" s="424"/>
      <c r="AL513" s="424"/>
      <c r="AM513" s="424"/>
      <c r="AN513" s="424"/>
      <c r="AO513" s="424"/>
      <c r="AP513" s="424"/>
      <c r="AQ513" s="424"/>
      <c r="AR513" s="424"/>
      <c r="AS513" s="424"/>
      <c r="AT513" s="424"/>
      <c r="AU513" s="424"/>
      <c r="AV513" s="424"/>
      <c r="AW513" s="424"/>
      <c r="AX513" s="424"/>
      <c r="AY513" s="424"/>
    </row>
    <row r="514" spans="1:51" s="331" customFormat="1">
      <c r="A514" s="476">
        <v>45918</v>
      </c>
      <c r="B514" s="469" t="s">
        <v>3250</v>
      </c>
      <c r="C514" s="469" t="s">
        <v>173</v>
      </c>
      <c r="D514" s="469" t="s">
        <v>120</v>
      </c>
      <c r="E514" s="469">
        <v>2500</v>
      </c>
      <c r="F514" s="463">
        <f t="shared" si="9"/>
        <v>4.6860092633031112</v>
      </c>
      <c r="G514" s="464">
        <v>533.50300000000004</v>
      </c>
      <c r="H514" s="469" t="s">
        <v>316</v>
      </c>
      <c r="I514" s="469" t="s">
        <v>3260</v>
      </c>
      <c r="J514" s="247" t="s">
        <v>97</v>
      </c>
      <c r="K514" s="247" t="s">
        <v>1133</v>
      </c>
      <c r="L514" s="247" t="s">
        <v>154</v>
      </c>
      <c r="M514" s="335"/>
      <c r="N514" s="335"/>
      <c r="O514" s="335"/>
      <c r="P514" s="424"/>
      <c r="Q514" s="424"/>
      <c r="R514" s="424"/>
      <c r="S514" s="424"/>
      <c r="T514" s="424"/>
      <c r="U514" s="424"/>
      <c r="V514" s="424"/>
      <c r="W514" s="424"/>
      <c r="X514" s="424"/>
      <c r="Y514" s="424"/>
      <c r="Z514" s="424"/>
      <c r="AA514" s="424"/>
      <c r="AB514" s="424"/>
      <c r="AC514" s="424"/>
      <c r="AD514" s="424"/>
      <c r="AE514" s="424"/>
      <c r="AF514" s="424"/>
      <c r="AG514" s="424"/>
      <c r="AH514" s="424"/>
      <c r="AI514" s="424"/>
      <c r="AJ514" s="424"/>
      <c r="AK514" s="424"/>
      <c r="AL514" s="424"/>
      <c r="AM514" s="424"/>
      <c r="AN514" s="424"/>
      <c r="AO514" s="424"/>
      <c r="AP514" s="424"/>
      <c r="AQ514" s="424"/>
      <c r="AR514" s="424"/>
      <c r="AS514" s="424"/>
      <c r="AT514" s="424"/>
      <c r="AU514" s="424"/>
      <c r="AV514" s="424"/>
      <c r="AW514" s="424"/>
      <c r="AX514" s="424"/>
      <c r="AY514" s="424"/>
    </row>
    <row r="515" spans="1:51" s="331" customFormat="1">
      <c r="A515" s="476">
        <v>45918</v>
      </c>
      <c r="B515" s="469" t="s">
        <v>3251</v>
      </c>
      <c r="C515" s="469" t="s">
        <v>173</v>
      </c>
      <c r="D515" s="469" t="s">
        <v>120</v>
      </c>
      <c r="E515" s="469">
        <v>1500</v>
      </c>
      <c r="F515" s="463">
        <f t="shared" si="9"/>
        <v>2.8116055579818666</v>
      </c>
      <c r="G515" s="464">
        <v>533.50300000000004</v>
      </c>
      <c r="H515" s="469" t="s">
        <v>316</v>
      </c>
      <c r="I515" s="469" t="s">
        <v>3260</v>
      </c>
      <c r="J515" s="247" t="s">
        <v>97</v>
      </c>
      <c r="K515" s="247" t="s">
        <v>1133</v>
      </c>
      <c r="L515" s="247" t="s">
        <v>154</v>
      </c>
      <c r="M515" s="335"/>
      <c r="N515" s="335"/>
      <c r="O515" s="335"/>
      <c r="P515" s="424"/>
      <c r="Q515" s="424"/>
      <c r="R515" s="424"/>
      <c r="S515" s="424"/>
      <c r="T515" s="424"/>
      <c r="U515" s="424"/>
      <c r="V515" s="424"/>
      <c r="W515" s="424"/>
      <c r="X515" s="424"/>
      <c r="Y515" s="424"/>
      <c r="Z515" s="424"/>
      <c r="AA515" s="424"/>
      <c r="AB515" s="424"/>
      <c r="AC515" s="424"/>
      <c r="AD515" s="424"/>
      <c r="AE515" s="424"/>
      <c r="AF515" s="424"/>
      <c r="AG515" s="424"/>
      <c r="AH515" s="424"/>
      <c r="AI515" s="424"/>
      <c r="AJ515" s="424"/>
      <c r="AK515" s="424"/>
      <c r="AL515" s="424"/>
      <c r="AM515" s="424"/>
      <c r="AN515" s="424"/>
      <c r="AO515" s="424"/>
      <c r="AP515" s="424"/>
      <c r="AQ515" s="424"/>
      <c r="AR515" s="424"/>
      <c r="AS515" s="424"/>
      <c r="AT515" s="424"/>
      <c r="AU515" s="424"/>
      <c r="AV515" s="424"/>
      <c r="AW515" s="424"/>
      <c r="AX515" s="424"/>
      <c r="AY515" s="424"/>
    </row>
    <row r="516" spans="1:51" s="331" customFormat="1">
      <c r="A516" s="476">
        <v>45918</v>
      </c>
      <c r="B516" s="469" t="s">
        <v>3252</v>
      </c>
      <c r="C516" s="469" t="s">
        <v>173</v>
      </c>
      <c r="D516" s="469" t="s">
        <v>120</v>
      </c>
      <c r="E516" s="469">
        <v>2500</v>
      </c>
      <c r="F516" s="463">
        <f t="shared" si="9"/>
        <v>4.6860092633031112</v>
      </c>
      <c r="G516" s="464">
        <v>533.50300000000004</v>
      </c>
      <c r="H516" s="469" t="s">
        <v>316</v>
      </c>
      <c r="I516" s="469" t="s">
        <v>3260</v>
      </c>
      <c r="J516" s="247" t="s">
        <v>97</v>
      </c>
      <c r="K516" s="247" t="s">
        <v>1133</v>
      </c>
      <c r="L516" s="247" t="s">
        <v>154</v>
      </c>
      <c r="M516" s="335"/>
      <c r="N516" s="335"/>
      <c r="O516" s="335"/>
      <c r="P516" s="424"/>
      <c r="Q516" s="424"/>
      <c r="R516" s="424"/>
      <c r="S516" s="424"/>
      <c r="T516" s="424"/>
      <c r="U516" s="424"/>
      <c r="V516" s="424"/>
      <c r="W516" s="424"/>
      <c r="X516" s="424"/>
      <c r="Y516" s="424"/>
      <c r="Z516" s="424"/>
      <c r="AA516" s="424"/>
      <c r="AB516" s="424"/>
      <c r="AC516" s="424"/>
      <c r="AD516" s="424"/>
      <c r="AE516" s="424"/>
      <c r="AF516" s="424"/>
      <c r="AG516" s="424"/>
      <c r="AH516" s="424"/>
      <c r="AI516" s="424"/>
      <c r="AJ516" s="424"/>
      <c r="AK516" s="424"/>
      <c r="AL516" s="424"/>
      <c r="AM516" s="424"/>
      <c r="AN516" s="424"/>
      <c r="AO516" s="424"/>
      <c r="AP516" s="424"/>
      <c r="AQ516" s="424"/>
      <c r="AR516" s="424"/>
      <c r="AS516" s="424"/>
      <c r="AT516" s="424"/>
      <c r="AU516" s="424"/>
      <c r="AV516" s="424"/>
      <c r="AW516" s="424"/>
      <c r="AX516" s="424"/>
      <c r="AY516" s="424"/>
    </row>
    <row r="517" spans="1:51">
      <c r="A517" s="476">
        <v>45918</v>
      </c>
      <c r="B517" s="469" t="s">
        <v>3290</v>
      </c>
      <c r="C517" s="469" t="s">
        <v>173</v>
      </c>
      <c r="D517" s="469" t="s">
        <v>120</v>
      </c>
      <c r="E517" s="472">
        <v>1000</v>
      </c>
      <c r="F517" s="463">
        <f t="shared" si="9"/>
        <v>1.8744037053212446</v>
      </c>
      <c r="G517" s="464">
        <v>533.50300000000004</v>
      </c>
      <c r="H517" s="469" t="s">
        <v>322</v>
      </c>
      <c r="I517" s="469" t="s">
        <v>3301</v>
      </c>
      <c r="J517" s="247" t="s">
        <v>97</v>
      </c>
      <c r="K517" s="247" t="s">
        <v>1133</v>
      </c>
      <c r="L517" s="247" t="s">
        <v>154</v>
      </c>
      <c r="M517" s="335"/>
      <c r="N517" s="335"/>
      <c r="O517" s="335"/>
      <c r="P517" s="333"/>
      <c r="Q517" s="333"/>
      <c r="R517" s="333"/>
      <c r="S517" s="333"/>
      <c r="T517" s="333"/>
      <c r="U517" s="333"/>
      <c r="V517" s="333"/>
      <c r="W517" s="333"/>
      <c r="X517" s="333"/>
      <c r="Y517" s="333"/>
      <c r="Z517" s="333"/>
      <c r="AA517" s="333"/>
      <c r="AB517" s="333"/>
      <c r="AC517" s="333"/>
      <c r="AD517" s="333"/>
      <c r="AE517" s="333"/>
      <c r="AF517" s="333"/>
      <c r="AG517" s="333"/>
      <c r="AH517" s="333"/>
      <c r="AI517" s="333"/>
      <c r="AJ517" s="333"/>
      <c r="AK517" s="333"/>
      <c r="AL517" s="333"/>
      <c r="AM517" s="333"/>
      <c r="AN517" s="333"/>
      <c r="AO517" s="333"/>
      <c r="AP517" s="333"/>
      <c r="AQ517" s="333"/>
      <c r="AR517" s="333"/>
      <c r="AS517" s="333"/>
      <c r="AT517" s="333"/>
      <c r="AU517" s="333"/>
      <c r="AV517" s="333"/>
      <c r="AW517" s="333"/>
      <c r="AX517" s="333"/>
      <c r="AY517" s="333"/>
    </row>
    <row r="518" spans="1:51">
      <c r="A518" s="476">
        <v>45918</v>
      </c>
      <c r="B518" s="469" t="s">
        <v>3291</v>
      </c>
      <c r="C518" s="469" t="s">
        <v>173</v>
      </c>
      <c r="D518" s="469" t="s">
        <v>120</v>
      </c>
      <c r="E518" s="472">
        <v>1000</v>
      </c>
      <c r="F518" s="463">
        <f t="shared" si="9"/>
        <v>1.8744037053212446</v>
      </c>
      <c r="G518" s="464">
        <v>533.50300000000004</v>
      </c>
      <c r="H518" s="469" t="s">
        <v>322</v>
      </c>
      <c r="I518" s="469" t="s">
        <v>3301</v>
      </c>
      <c r="J518" s="247" t="s">
        <v>97</v>
      </c>
      <c r="K518" s="247" t="s">
        <v>1133</v>
      </c>
      <c r="L518" s="247" t="s">
        <v>154</v>
      </c>
      <c r="M518" s="335"/>
      <c r="N518" s="335"/>
      <c r="O518" s="335"/>
      <c r="P518" s="333"/>
      <c r="Q518" s="333"/>
      <c r="R518" s="333"/>
      <c r="S518" s="333"/>
      <c r="T518" s="333"/>
      <c r="U518" s="333"/>
      <c r="V518" s="333"/>
      <c r="W518" s="333"/>
      <c r="X518" s="333"/>
      <c r="Y518" s="333"/>
      <c r="Z518" s="333"/>
      <c r="AA518" s="333"/>
      <c r="AB518" s="333"/>
      <c r="AC518" s="333"/>
      <c r="AD518" s="333"/>
      <c r="AE518" s="333"/>
      <c r="AF518" s="333"/>
      <c r="AG518" s="333"/>
      <c r="AH518" s="333"/>
      <c r="AI518" s="333"/>
      <c r="AJ518" s="333"/>
      <c r="AK518" s="333"/>
      <c r="AL518" s="333"/>
      <c r="AM518" s="333"/>
      <c r="AN518" s="333"/>
      <c r="AO518" s="333"/>
      <c r="AP518" s="333"/>
      <c r="AQ518" s="333"/>
      <c r="AR518" s="333"/>
      <c r="AS518" s="333"/>
      <c r="AT518" s="333"/>
      <c r="AU518" s="333"/>
      <c r="AV518" s="333"/>
      <c r="AW518" s="333"/>
      <c r="AX518" s="333"/>
      <c r="AY518" s="333"/>
    </row>
    <row r="519" spans="1:51">
      <c r="A519" s="476">
        <v>45918</v>
      </c>
      <c r="B519" s="469" t="s">
        <v>3292</v>
      </c>
      <c r="C519" s="469" t="s">
        <v>173</v>
      </c>
      <c r="D519" s="469" t="s">
        <v>120</v>
      </c>
      <c r="E519" s="472">
        <v>1000</v>
      </c>
      <c r="F519" s="463">
        <f t="shared" si="9"/>
        <v>1.8744037053212446</v>
      </c>
      <c r="G519" s="464">
        <v>533.50300000000004</v>
      </c>
      <c r="H519" s="469" t="s">
        <v>322</v>
      </c>
      <c r="I519" s="469" t="s">
        <v>3301</v>
      </c>
      <c r="J519" s="247" t="s">
        <v>97</v>
      </c>
      <c r="K519" s="247" t="s">
        <v>1133</v>
      </c>
      <c r="L519" s="247" t="s">
        <v>154</v>
      </c>
      <c r="M519" s="335"/>
      <c r="N519" s="335"/>
      <c r="O519" s="335"/>
      <c r="P519" s="333"/>
      <c r="Q519" s="333"/>
      <c r="R519" s="333"/>
      <c r="S519" s="333"/>
      <c r="T519" s="333"/>
      <c r="U519" s="333"/>
      <c r="V519" s="333"/>
      <c r="W519" s="333"/>
      <c r="X519" s="333"/>
      <c r="Y519" s="333"/>
      <c r="Z519" s="333"/>
      <c r="AA519" s="333"/>
      <c r="AB519" s="333"/>
      <c r="AC519" s="333"/>
      <c r="AD519" s="333"/>
      <c r="AE519" s="333"/>
      <c r="AF519" s="333"/>
      <c r="AG519" s="333"/>
      <c r="AH519" s="333"/>
      <c r="AI519" s="333"/>
      <c r="AJ519" s="333"/>
      <c r="AK519" s="333"/>
      <c r="AL519" s="333"/>
      <c r="AM519" s="333"/>
      <c r="AN519" s="333"/>
      <c r="AO519" s="333"/>
      <c r="AP519" s="333"/>
      <c r="AQ519" s="333"/>
      <c r="AR519" s="333"/>
      <c r="AS519" s="333"/>
      <c r="AT519" s="333"/>
      <c r="AU519" s="333"/>
      <c r="AV519" s="333"/>
      <c r="AW519" s="333"/>
      <c r="AX519" s="333"/>
      <c r="AY519" s="333"/>
    </row>
    <row r="520" spans="1:51">
      <c r="A520" s="476">
        <v>45918</v>
      </c>
      <c r="B520" s="469" t="s">
        <v>3293</v>
      </c>
      <c r="C520" s="469" t="s">
        <v>173</v>
      </c>
      <c r="D520" s="469" t="s">
        <v>120</v>
      </c>
      <c r="E520" s="472">
        <v>1000</v>
      </c>
      <c r="F520" s="463">
        <f t="shared" si="9"/>
        <v>1.8744037053212446</v>
      </c>
      <c r="G520" s="464">
        <v>533.50300000000004</v>
      </c>
      <c r="H520" s="469" t="s">
        <v>322</v>
      </c>
      <c r="I520" s="469" t="s">
        <v>3301</v>
      </c>
      <c r="J520" s="247" t="s">
        <v>97</v>
      </c>
      <c r="K520" s="247" t="s">
        <v>1133</v>
      </c>
      <c r="L520" s="247" t="s">
        <v>154</v>
      </c>
      <c r="M520" s="335"/>
      <c r="N520" s="335"/>
      <c r="O520" s="335"/>
      <c r="P520" s="333"/>
      <c r="Q520" s="333"/>
      <c r="R520" s="333"/>
      <c r="S520" s="333"/>
      <c r="T520" s="333"/>
      <c r="U520" s="333"/>
      <c r="V520" s="333"/>
      <c r="W520" s="333"/>
      <c r="X520" s="333"/>
      <c r="Y520" s="333"/>
      <c r="Z520" s="333"/>
      <c r="AA520" s="333"/>
      <c r="AB520" s="333"/>
      <c r="AC520" s="333"/>
      <c r="AD520" s="333"/>
      <c r="AE520" s="333"/>
      <c r="AF520" s="333"/>
      <c r="AG520" s="333"/>
      <c r="AH520" s="333"/>
      <c r="AI520" s="333"/>
      <c r="AJ520" s="333"/>
      <c r="AK520" s="333"/>
      <c r="AL520" s="333"/>
      <c r="AM520" s="333"/>
      <c r="AN520" s="333"/>
      <c r="AO520" s="333"/>
      <c r="AP520" s="333"/>
      <c r="AQ520" s="333"/>
      <c r="AR520" s="333"/>
      <c r="AS520" s="333"/>
      <c r="AT520" s="333"/>
      <c r="AU520" s="333"/>
      <c r="AV520" s="333"/>
      <c r="AW520" s="333"/>
      <c r="AX520" s="333"/>
      <c r="AY520" s="333"/>
    </row>
    <row r="521" spans="1:51">
      <c r="A521" s="476">
        <v>45918</v>
      </c>
      <c r="B521" s="469" t="s">
        <v>3317</v>
      </c>
      <c r="C521" s="469" t="s">
        <v>173</v>
      </c>
      <c r="D521" s="469" t="s">
        <v>116</v>
      </c>
      <c r="E521" s="470">
        <v>1000</v>
      </c>
      <c r="F521" s="463">
        <f t="shared" si="9"/>
        <v>1.8744037053212446</v>
      </c>
      <c r="G521" s="464">
        <v>533.50300000000004</v>
      </c>
      <c r="H521" s="469" t="s">
        <v>189</v>
      </c>
      <c r="I521" s="469" t="s">
        <v>3324</v>
      </c>
      <c r="J521" s="247" t="s">
        <v>97</v>
      </c>
      <c r="K521" s="247" t="s">
        <v>1133</v>
      </c>
      <c r="L521" s="247" t="s">
        <v>154</v>
      </c>
      <c r="M521" s="335"/>
      <c r="N521" s="335"/>
      <c r="O521" s="335"/>
      <c r="P521" s="333"/>
      <c r="Q521" s="333"/>
      <c r="R521" s="333"/>
      <c r="S521" s="333"/>
      <c r="T521" s="333"/>
      <c r="U521" s="333"/>
      <c r="V521" s="333"/>
      <c r="W521" s="333"/>
      <c r="X521" s="333"/>
      <c r="Y521" s="333"/>
      <c r="Z521" s="333"/>
      <c r="AA521" s="333"/>
      <c r="AB521" s="333"/>
      <c r="AC521" s="333"/>
      <c r="AD521" s="333"/>
      <c r="AE521" s="333"/>
      <c r="AF521" s="333"/>
      <c r="AG521" s="333"/>
      <c r="AH521" s="333"/>
      <c r="AI521" s="333"/>
      <c r="AJ521" s="333"/>
      <c r="AK521" s="333"/>
      <c r="AL521" s="333"/>
      <c r="AM521" s="333"/>
      <c r="AN521" s="333"/>
      <c r="AO521" s="333"/>
      <c r="AP521" s="333"/>
      <c r="AQ521" s="333"/>
      <c r="AR521" s="333"/>
      <c r="AS521" s="333"/>
      <c r="AT521" s="333"/>
      <c r="AU521" s="333"/>
      <c r="AV521" s="333"/>
      <c r="AW521" s="333"/>
      <c r="AX521" s="333"/>
      <c r="AY521" s="333"/>
    </row>
    <row r="522" spans="1:51">
      <c r="A522" s="476">
        <v>45918</v>
      </c>
      <c r="B522" s="469" t="s">
        <v>3318</v>
      </c>
      <c r="C522" s="469" t="s">
        <v>173</v>
      </c>
      <c r="D522" s="469" t="s">
        <v>116</v>
      </c>
      <c r="E522" s="470">
        <v>2000</v>
      </c>
      <c r="F522" s="463">
        <f t="shared" si="9"/>
        <v>3.7488074106424891</v>
      </c>
      <c r="G522" s="464">
        <v>533.50300000000004</v>
      </c>
      <c r="H522" s="469" t="s">
        <v>189</v>
      </c>
      <c r="I522" s="469" t="s">
        <v>3324</v>
      </c>
      <c r="J522" s="247" t="s">
        <v>97</v>
      </c>
      <c r="K522" s="247" t="s">
        <v>1133</v>
      </c>
      <c r="L522" s="247" t="s">
        <v>154</v>
      </c>
      <c r="M522" s="335"/>
      <c r="N522" s="335"/>
      <c r="O522" s="335"/>
      <c r="P522" s="333"/>
      <c r="Q522" s="333"/>
      <c r="R522" s="333"/>
      <c r="S522" s="333"/>
      <c r="T522" s="333"/>
      <c r="U522" s="333"/>
      <c r="V522" s="333"/>
      <c r="W522" s="333"/>
      <c r="X522" s="333"/>
      <c r="Y522" s="333"/>
      <c r="Z522" s="333"/>
      <c r="AA522" s="333"/>
      <c r="AB522" s="333"/>
      <c r="AC522" s="333"/>
      <c r="AD522" s="333"/>
      <c r="AE522" s="333"/>
      <c r="AF522" s="333"/>
      <c r="AG522" s="333"/>
      <c r="AH522" s="333"/>
      <c r="AI522" s="333"/>
      <c r="AJ522" s="333"/>
      <c r="AK522" s="333"/>
      <c r="AL522" s="333"/>
      <c r="AM522" s="333"/>
      <c r="AN522" s="333"/>
      <c r="AO522" s="333"/>
      <c r="AP522" s="333"/>
      <c r="AQ522" s="333"/>
      <c r="AR522" s="333"/>
      <c r="AS522" s="333"/>
      <c r="AT522" s="333"/>
      <c r="AU522" s="333"/>
      <c r="AV522" s="333"/>
      <c r="AW522" s="333"/>
      <c r="AX522" s="333"/>
      <c r="AY522" s="333"/>
    </row>
    <row r="523" spans="1:51">
      <c r="A523" s="476">
        <v>45919</v>
      </c>
      <c r="B523" s="469" t="s">
        <v>2100</v>
      </c>
      <c r="C523" s="462" t="s">
        <v>173</v>
      </c>
      <c r="D523" s="462" t="s">
        <v>118</v>
      </c>
      <c r="E523" s="359">
        <v>1000</v>
      </c>
      <c r="F523" s="463">
        <f t="shared" si="9"/>
        <v>1.8744037053212446</v>
      </c>
      <c r="G523" s="464">
        <v>533.50300000000004</v>
      </c>
      <c r="H523" s="465" t="s">
        <v>152</v>
      </c>
      <c r="I523" s="469" t="s">
        <v>2868</v>
      </c>
      <c r="J523" s="247" t="s">
        <v>97</v>
      </c>
      <c r="K523" s="247" t="s">
        <v>1133</v>
      </c>
      <c r="L523" s="247" t="s">
        <v>154</v>
      </c>
      <c r="M523" s="414"/>
      <c r="N523" s="414"/>
      <c r="O523" s="414"/>
      <c r="P523" s="333"/>
      <c r="Q523" s="333"/>
      <c r="R523" s="333"/>
      <c r="S523" s="333"/>
      <c r="T523" s="333"/>
      <c r="U523" s="333"/>
      <c r="V523" s="333"/>
      <c r="W523" s="333"/>
      <c r="X523" s="333"/>
      <c r="Y523" s="333"/>
      <c r="Z523" s="333"/>
      <c r="AA523" s="333"/>
      <c r="AB523" s="333"/>
      <c r="AC523" s="333"/>
      <c r="AD523" s="333"/>
      <c r="AE523" s="333"/>
      <c r="AF523" s="333"/>
      <c r="AG523" s="333"/>
      <c r="AH523" s="333"/>
      <c r="AI523" s="333"/>
      <c r="AJ523" s="333"/>
      <c r="AK523" s="333"/>
      <c r="AL523" s="333"/>
      <c r="AM523" s="333"/>
      <c r="AN523" s="333"/>
      <c r="AO523" s="333"/>
      <c r="AP523" s="333"/>
      <c r="AQ523" s="333"/>
      <c r="AR523" s="333"/>
      <c r="AS523" s="333"/>
      <c r="AT523" s="333"/>
      <c r="AU523" s="333"/>
      <c r="AV523" s="333"/>
      <c r="AW523" s="333"/>
      <c r="AX523" s="333"/>
      <c r="AY523" s="333"/>
    </row>
    <row r="524" spans="1:51">
      <c r="A524" s="476">
        <v>45919</v>
      </c>
      <c r="B524" s="469" t="s">
        <v>2101</v>
      </c>
      <c r="C524" s="462" t="s">
        <v>173</v>
      </c>
      <c r="D524" s="462" t="s">
        <v>118</v>
      </c>
      <c r="E524" s="359">
        <v>1000</v>
      </c>
      <c r="F524" s="463">
        <f t="shared" si="9"/>
        <v>1.8744037053212446</v>
      </c>
      <c r="G524" s="464">
        <v>533.50300000000004</v>
      </c>
      <c r="H524" s="465" t="s">
        <v>152</v>
      </c>
      <c r="I524" s="469" t="s">
        <v>2868</v>
      </c>
      <c r="J524" s="247" t="s">
        <v>97</v>
      </c>
      <c r="K524" s="247" t="s">
        <v>1133</v>
      </c>
      <c r="L524" s="247" t="s">
        <v>154</v>
      </c>
      <c r="M524" s="414"/>
      <c r="N524" s="414"/>
      <c r="O524" s="414"/>
      <c r="P524" s="333"/>
      <c r="Q524" s="333"/>
      <c r="R524" s="333"/>
      <c r="S524" s="333"/>
      <c r="T524" s="333"/>
      <c r="U524" s="333"/>
      <c r="V524" s="333"/>
      <c r="W524" s="333"/>
      <c r="X524" s="333"/>
      <c r="Y524" s="333"/>
      <c r="Z524" s="333"/>
      <c r="AA524" s="333"/>
      <c r="AB524" s="333"/>
      <c r="AC524" s="333"/>
      <c r="AD524" s="333"/>
      <c r="AE524" s="333"/>
      <c r="AF524" s="333"/>
      <c r="AG524" s="333"/>
      <c r="AH524" s="333"/>
      <c r="AI524" s="333"/>
      <c r="AJ524" s="333"/>
      <c r="AK524" s="333"/>
      <c r="AL524" s="333"/>
      <c r="AM524" s="333"/>
      <c r="AN524" s="333"/>
      <c r="AO524" s="333"/>
      <c r="AP524" s="333"/>
      <c r="AQ524" s="333"/>
      <c r="AR524" s="333"/>
      <c r="AS524" s="333"/>
      <c r="AT524" s="333"/>
      <c r="AU524" s="333"/>
      <c r="AV524" s="333"/>
      <c r="AW524" s="333"/>
      <c r="AX524" s="333"/>
      <c r="AY524" s="333"/>
    </row>
    <row r="525" spans="1:51">
      <c r="A525" s="467">
        <v>45919</v>
      </c>
      <c r="B525" s="469" t="s">
        <v>2947</v>
      </c>
      <c r="C525" s="469" t="s">
        <v>173</v>
      </c>
      <c r="D525" s="469" t="s">
        <v>117</v>
      </c>
      <c r="E525" s="470">
        <v>1000</v>
      </c>
      <c r="F525" s="463">
        <f t="shared" si="9"/>
        <v>1.8744037053212446</v>
      </c>
      <c r="G525" s="464">
        <v>533.50300000000004</v>
      </c>
      <c r="H525" s="469" t="s">
        <v>583</v>
      </c>
      <c r="I525" s="469" t="s">
        <v>2970</v>
      </c>
      <c r="J525" s="247" t="s">
        <v>97</v>
      </c>
      <c r="K525" s="247" t="s">
        <v>1133</v>
      </c>
      <c r="L525" s="247" t="s">
        <v>154</v>
      </c>
      <c r="M525" s="335"/>
      <c r="N525" s="335"/>
      <c r="O525" s="335"/>
      <c r="P525" s="333"/>
      <c r="Q525" s="333"/>
      <c r="R525" s="333"/>
      <c r="S525" s="333"/>
      <c r="T525" s="333"/>
      <c r="U525" s="333"/>
      <c r="V525" s="333"/>
      <c r="W525" s="333"/>
      <c r="X525" s="333"/>
      <c r="Y525" s="333"/>
      <c r="Z525" s="333"/>
      <c r="AA525" s="333"/>
      <c r="AB525" s="333"/>
      <c r="AC525" s="333"/>
      <c r="AD525" s="333"/>
      <c r="AE525" s="333"/>
      <c r="AF525" s="333"/>
      <c r="AG525" s="333"/>
      <c r="AH525" s="333"/>
      <c r="AI525" s="333"/>
      <c r="AJ525" s="333"/>
      <c r="AK525" s="333"/>
      <c r="AL525" s="333"/>
      <c r="AM525" s="333"/>
      <c r="AN525" s="333"/>
      <c r="AO525" s="333"/>
      <c r="AP525" s="333"/>
      <c r="AQ525" s="333"/>
      <c r="AR525" s="333"/>
      <c r="AS525" s="333"/>
      <c r="AT525" s="333"/>
      <c r="AU525" s="333"/>
      <c r="AV525" s="333"/>
      <c r="AW525" s="333"/>
      <c r="AX525" s="333"/>
      <c r="AY525" s="333"/>
    </row>
    <row r="526" spans="1:51">
      <c r="A526" s="467">
        <v>45919</v>
      </c>
      <c r="B526" s="469" t="s">
        <v>2948</v>
      </c>
      <c r="C526" s="469" t="s">
        <v>173</v>
      </c>
      <c r="D526" s="469" t="s">
        <v>117</v>
      </c>
      <c r="E526" s="470">
        <v>1000</v>
      </c>
      <c r="F526" s="463">
        <f t="shared" si="9"/>
        <v>1.8744037053212446</v>
      </c>
      <c r="G526" s="464">
        <v>533.50300000000004</v>
      </c>
      <c r="H526" s="469" t="s">
        <v>583</v>
      </c>
      <c r="I526" s="469" t="s">
        <v>2970</v>
      </c>
      <c r="J526" s="247" t="s">
        <v>97</v>
      </c>
      <c r="K526" s="247" t="s">
        <v>1133</v>
      </c>
      <c r="L526" s="247" t="s">
        <v>154</v>
      </c>
      <c r="M526" s="335"/>
      <c r="N526" s="335"/>
      <c r="O526" s="335"/>
      <c r="P526" s="333"/>
      <c r="Q526" s="333"/>
      <c r="R526" s="333"/>
      <c r="S526" s="333"/>
      <c r="T526" s="333"/>
      <c r="U526" s="333"/>
      <c r="V526" s="333"/>
      <c r="W526" s="333"/>
      <c r="X526" s="333"/>
      <c r="Y526" s="333"/>
      <c r="Z526" s="333"/>
      <c r="AA526" s="333"/>
      <c r="AB526" s="333"/>
      <c r="AC526" s="333"/>
      <c r="AD526" s="333"/>
      <c r="AE526" s="333"/>
      <c r="AF526" s="333"/>
      <c r="AG526" s="333"/>
      <c r="AH526" s="333"/>
      <c r="AI526" s="333"/>
      <c r="AJ526" s="333"/>
      <c r="AK526" s="333"/>
      <c r="AL526" s="333"/>
      <c r="AM526" s="333"/>
      <c r="AN526" s="333"/>
      <c r="AO526" s="333"/>
      <c r="AP526" s="333"/>
      <c r="AQ526" s="333"/>
      <c r="AR526" s="333"/>
      <c r="AS526" s="333"/>
      <c r="AT526" s="333"/>
      <c r="AU526" s="333"/>
      <c r="AV526" s="333"/>
      <c r="AW526" s="333"/>
      <c r="AX526" s="333"/>
      <c r="AY526" s="333"/>
    </row>
    <row r="527" spans="1:51">
      <c r="A527" s="474">
        <v>45919</v>
      </c>
      <c r="B527" s="475" t="s">
        <v>3069</v>
      </c>
      <c r="C527" s="475" t="s">
        <v>173</v>
      </c>
      <c r="D527" s="475" t="s">
        <v>120</v>
      </c>
      <c r="E527" s="475">
        <v>1000</v>
      </c>
      <c r="F527" s="463">
        <f t="shared" si="9"/>
        <v>1.8744037053212446</v>
      </c>
      <c r="G527" s="464">
        <v>533.50300000000004</v>
      </c>
      <c r="H527" s="475" t="s">
        <v>183</v>
      </c>
      <c r="I527" s="475" t="s">
        <v>3086</v>
      </c>
      <c r="J527" s="247" t="s">
        <v>97</v>
      </c>
      <c r="K527" s="247" t="s">
        <v>1133</v>
      </c>
      <c r="L527" s="247" t="s">
        <v>154</v>
      </c>
      <c r="M527" s="414"/>
      <c r="N527" s="414"/>
      <c r="O527" s="414"/>
      <c r="P527" s="333"/>
      <c r="Q527" s="333"/>
      <c r="R527" s="333"/>
      <c r="S527" s="333"/>
      <c r="T527" s="333"/>
      <c r="U527" s="333"/>
      <c r="V527" s="333"/>
      <c r="W527" s="333"/>
      <c r="X527" s="333"/>
      <c r="Y527" s="333"/>
      <c r="Z527" s="333"/>
      <c r="AA527" s="333"/>
      <c r="AB527" s="333"/>
      <c r="AC527" s="333"/>
      <c r="AD527" s="333"/>
      <c r="AE527" s="333"/>
      <c r="AF527" s="333"/>
      <c r="AG527" s="333"/>
      <c r="AH527" s="333"/>
      <c r="AI527" s="333"/>
      <c r="AJ527" s="333"/>
      <c r="AK527" s="333"/>
      <c r="AL527" s="333"/>
      <c r="AM527" s="333"/>
      <c r="AN527" s="333"/>
      <c r="AO527" s="333"/>
      <c r="AP527" s="333"/>
      <c r="AQ527" s="333"/>
      <c r="AR527" s="333"/>
      <c r="AS527" s="333"/>
      <c r="AT527" s="333"/>
      <c r="AU527" s="333"/>
      <c r="AV527" s="333"/>
      <c r="AW527" s="333"/>
      <c r="AX527" s="333"/>
      <c r="AY527" s="333"/>
    </row>
    <row r="528" spans="1:51">
      <c r="A528" s="474">
        <v>45919</v>
      </c>
      <c r="B528" s="475" t="s">
        <v>3070</v>
      </c>
      <c r="C528" s="475" t="s">
        <v>173</v>
      </c>
      <c r="D528" s="475" t="s">
        <v>120</v>
      </c>
      <c r="E528" s="475">
        <v>1000</v>
      </c>
      <c r="F528" s="463">
        <f t="shared" si="9"/>
        <v>1.8744037053212446</v>
      </c>
      <c r="G528" s="464">
        <v>533.50300000000004</v>
      </c>
      <c r="H528" s="475" t="s">
        <v>183</v>
      </c>
      <c r="I528" s="475" t="s">
        <v>3086</v>
      </c>
      <c r="J528" s="247" t="s">
        <v>97</v>
      </c>
      <c r="K528" s="247" t="s">
        <v>1133</v>
      </c>
      <c r="L528" s="247" t="s">
        <v>154</v>
      </c>
      <c r="M528" s="414"/>
      <c r="N528" s="414"/>
      <c r="O528" s="414"/>
      <c r="P528" s="333"/>
      <c r="Q528" s="333"/>
      <c r="R528" s="333"/>
      <c r="S528" s="333"/>
      <c r="T528" s="333"/>
      <c r="U528" s="333"/>
      <c r="V528" s="333"/>
      <c r="W528" s="333"/>
      <c r="X528" s="333"/>
      <c r="Y528" s="333"/>
      <c r="Z528" s="333"/>
      <c r="AA528" s="333"/>
      <c r="AB528" s="333"/>
      <c r="AC528" s="333"/>
      <c r="AD528" s="333"/>
      <c r="AE528" s="333"/>
      <c r="AF528" s="333"/>
      <c r="AG528" s="333"/>
      <c r="AH528" s="333"/>
      <c r="AI528" s="333"/>
      <c r="AJ528" s="333"/>
      <c r="AK528" s="333"/>
      <c r="AL528" s="333"/>
      <c r="AM528" s="333"/>
      <c r="AN528" s="333"/>
      <c r="AO528" s="333"/>
      <c r="AP528" s="333"/>
      <c r="AQ528" s="333"/>
      <c r="AR528" s="333"/>
      <c r="AS528" s="333"/>
      <c r="AT528" s="333"/>
      <c r="AU528" s="333"/>
      <c r="AV528" s="333"/>
      <c r="AW528" s="333"/>
      <c r="AX528" s="333"/>
      <c r="AY528" s="333"/>
    </row>
    <row r="529" spans="1:51">
      <c r="A529" s="474">
        <v>45919</v>
      </c>
      <c r="B529" s="475" t="s">
        <v>3071</v>
      </c>
      <c r="C529" s="475" t="s">
        <v>173</v>
      </c>
      <c r="D529" s="475" t="s">
        <v>120</v>
      </c>
      <c r="E529" s="475">
        <v>1000</v>
      </c>
      <c r="F529" s="463">
        <f t="shared" si="9"/>
        <v>1.8744037053212446</v>
      </c>
      <c r="G529" s="464">
        <v>533.50300000000004</v>
      </c>
      <c r="H529" s="475" t="s">
        <v>183</v>
      </c>
      <c r="I529" s="475" t="s">
        <v>3086</v>
      </c>
      <c r="J529" s="247" t="s">
        <v>97</v>
      </c>
      <c r="K529" s="247" t="s">
        <v>1133</v>
      </c>
      <c r="L529" s="247" t="s">
        <v>154</v>
      </c>
      <c r="M529" s="414"/>
      <c r="N529" s="414"/>
      <c r="O529" s="414"/>
      <c r="P529" s="333"/>
      <c r="Q529" s="333"/>
      <c r="R529" s="333"/>
      <c r="S529" s="333"/>
      <c r="T529" s="333"/>
      <c r="U529" s="333"/>
      <c r="V529" s="333"/>
      <c r="W529" s="333"/>
      <c r="X529" s="333"/>
      <c r="Y529" s="333"/>
      <c r="Z529" s="333"/>
      <c r="AA529" s="333"/>
      <c r="AB529" s="333"/>
      <c r="AC529" s="333"/>
      <c r="AD529" s="333"/>
      <c r="AE529" s="333"/>
      <c r="AF529" s="333"/>
      <c r="AG529" s="333"/>
      <c r="AH529" s="333"/>
      <c r="AI529" s="333"/>
      <c r="AJ529" s="333"/>
      <c r="AK529" s="333"/>
      <c r="AL529" s="333"/>
      <c r="AM529" s="333"/>
      <c r="AN529" s="333"/>
      <c r="AO529" s="333"/>
      <c r="AP529" s="333"/>
      <c r="AQ529" s="333"/>
      <c r="AR529" s="333"/>
      <c r="AS529" s="333"/>
      <c r="AT529" s="333"/>
      <c r="AU529" s="333"/>
      <c r="AV529" s="333"/>
      <c r="AW529" s="333"/>
      <c r="AX529" s="333"/>
      <c r="AY529" s="333"/>
    </row>
    <row r="530" spans="1:51">
      <c r="A530" s="474">
        <v>45919</v>
      </c>
      <c r="B530" s="475" t="s">
        <v>3072</v>
      </c>
      <c r="C530" s="475" t="s">
        <v>173</v>
      </c>
      <c r="D530" s="475" t="s">
        <v>120</v>
      </c>
      <c r="E530" s="475">
        <v>1000</v>
      </c>
      <c r="F530" s="463">
        <f t="shared" si="9"/>
        <v>1.8744037053212446</v>
      </c>
      <c r="G530" s="464">
        <v>533.50300000000004</v>
      </c>
      <c r="H530" s="475" t="s">
        <v>183</v>
      </c>
      <c r="I530" s="475" t="s">
        <v>3086</v>
      </c>
      <c r="J530" s="247" t="s">
        <v>97</v>
      </c>
      <c r="K530" s="247" t="s">
        <v>1133</v>
      </c>
      <c r="L530" s="247" t="s">
        <v>154</v>
      </c>
      <c r="M530" s="414"/>
      <c r="N530" s="414"/>
      <c r="O530" s="414"/>
      <c r="P530" s="333"/>
      <c r="Q530" s="333"/>
      <c r="R530" s="333"/>
      <c r="S530" s="333"/>
      <c r="T530" s="333"/>
      <c r="U530" s="333"/>
      <c r="V530" s="333"/>
      <c r="W530" s="333"/>
      <c r="X530" s="333"/>
      <c r="Y530" s="333"/>
      <c r="Z530" s="333"/>
      <c r="AA530" s="333"/>
      <c r="AB530" s="333"/>
      <c r="AC530" s="333"/>
      <c r="AD530" s="333"/>
      <c r="AE530" s="333"/>
      <c r="AF530" s="333"/>
      <c r="AG530" s="333"/>
      <c r="AH530" s="333"/>
      <c r="AI530" s="333"/>
      <c r="AJ530" s="333"/>
      <c r="AK530" s="333"/>
      <c r="AL530" s="333"/>
      <c r="AM530" s="333"/>
      <c r="AN530" s="333"/>
      <c r="AO530" s="333"/>
      <c r="AP530" s="333"/>
      <c r="AQ530" s="333"/>
      <c r="AR530" s="333"/>
      <c r="AS530" s="333"/>
      <c r="AT530" s="333"/>
      <c r="AU530" s="333"/>
      <c r="AV530" s="333"/>
      <c r="AW530" s="333"/>
      <c r="AX530" s="333"/>
      <c r="AY530" s="333"/>
    </row>
    <row r="531" spans="1:51">
      <c r="A531" s="474">
        <v>45919</v>
      </c>
      <c r="B531" s="475" t="s">
        <v>3073</v>
      </c>
      <c r="C531" s="475" t="s">
        <v>173</v>
      </c>
      <c r="D531" s="475" t="s">
        <v>120</v>
      </c>
      <c r="E531" s="475">
        <v>1000</v>
      </c>
      <c r="F531" s="463">
        <f t="shared" si="9"/>
        <v>1.8744037053212446</v>
      </c>
      <c r="G531" s="464">
        <v>533.50300000000004</v>
      </c>
      <c r="H531" s="475" t="s">
        <v>183</v>
      </c>
      <c r="I531" s="475" t="s">
        <v>3086</v>
      </c>
      <c r="J531" s="247" t="s">
        <v>97</v>
      </c>
      <c r="K531" s="247" t="s">
        <v>1133</v>
      </c>
      <c r="L531" s="247" t="s">
        <v>154</v>
      </c>
      <c r="M531" s="414"/>
      <c r="N531" s="414"/>
      <c r="O531" s="414"/>
      <c r="P531" s="333"/>
      <c r="Q531" s="333"/>
      <c r="R531" s="333"/>
      <c r="S531" s="333"/>
      <c r="T531" s="333"/>
      <c r="U531" s="333"/>
      <c r="V531" s="333"/>
      <c r="W531" s="333"/>
      <c r="X531" s="333"/>
      <c r="Y531" s="333"/>
      <c r="Z531" s="333"/>
      <c r="AA531" s="333"/>
      <c r="AB531" s="333"/>
      <c r="AC531" s="333"/>
      <c r="AD531" s="333"/>
      <c r="AE531" s="333"/>
      <c r="AF531" s="333"/>
      <c r="AG531" s="333"/>
      <c r="AH531" s="333"/>
      <c r="AI531" s="333"/>
      <c r="AJ531" s="333"/>
      <c r="AK531" s="333"/>
      <c r="AL531" s="333"/>
      <c r="AM531" s="333"/>
      <c r="AN531" s="333"/>
      <c r="AO531" s="333"/>
      <c r="AP531" s="333"/>
      <c r="AQ531" s="333"/>
      <c r="AR531" s="333"/>
      <c r="AS531" s="333"/>
      <c r="AT531" s="333"/>
      <c r="AU531" s="333"/>
      <c r="AV531" s="333"/>
      <c r="AW531" s="333"/>
      <c r="AX531" s="333"/>
      <c r="AY531" s="333"/>
    </row>
    <row r="532" spans="1:51">
      <c r="A532" s="474">
        <v>45919</v>
      </c>
      <c r="B532" s="475" t="s">
        <v>3074</v>
      </c>
      <c r="C532" s="475" t="s">
        <v>368</v>
      </c>
      <c r="D532" s="475" t="s">
        <v>120</v>
      </c>
      <c r="E532" s="475">
        <v>1000</v>
      </c>
      <c r="F532" s="463">
        <f t="shared" si="9"/>
        <v>1.8744037053212446</v>
      </c>
      <c r="G532" s="464">
        <v>533.50300000000004</v>
      </c>
      <c r="H532" s="475" t="s">
        <v>183</v>
      </c>
      <c r="I532" s="475" t="s">
        <v>3092</v>
      </c>
      <c r="J532" s="247" t="s">
        <v>97</v>
      </c>
      <c r="K532" s="247" t="s">
        <v>1133</v>
      </c>
      <c r="L532" s="247" t="s">
        <v>154</v>
      </c>
      <c r="M532" s="414"/>
      <c r="N532" s="414"/>
      <c r="O532" s="414"/>
      <c r="P532" s="333"/>
      <c r="Q532" s="333"/>
      <c r="R532" s="333"/>
      <c r="S532" s="333"/>
      <c r="T532" s="333"/>
      <c r="U532" s="333"/>
      <c r="V532" s="333"/>
      <c r="W532" s="333"/>
      <c r="X532" s="333"/>
      <c r="Y532" s="333"/>
      <c r="Z532" s="333"/>
      <c r="AA532" s="333"/>
      <c r="AB532" s="333"/>
      <c r="AC532" s="333"/>
      <c r="AD532" s="333"/>
      <c r="AE532" s="333"/>
      <c r="AF532" s="333"/>
      <c r="AG532" s="333"/>
      <c r="AH532" s="333"/>
      <c r="AI532" s="333"/>
      <c r="AJ532" s="333"/>
      <c r="AK532" s="333"/>
      <c r="AL532" s="333"/>
      <c r="AM532" s="333"/>
      <c r="AN532" s="333"/>
      <c r="AO532" s="333"/>
      <c r="AP532" s="333"/>
      <c r="AQ532" s="333"/>
      <c r="AR532" s="333"/>
      <c r="AS532" s="333"/>
      <c r="AT532" s="333"/>
      <c r="AU532" s="333"/>
      <c r="AV532" s="333"/>
      <c r="AW532" s="333"/>
      <c r="AX532" s="333"/>
      <c r="AY532" s="333"/>
    </row>
    <row r="533" spans="1:51">
      <c r="A533" s="476">
        <v>45919</v>
      </c>
      <c r="B533" s="469" t="s">
        <v>3138</v>
      </c>
      <c r="C533" s="469" t="s">
        <v>173</v>
      </c>
      <c r="D533" s="469" t="s">
        <v>120</v>
      </c>
      <c r="E533" s="469">
        <v>1000</v>
      </c>
      <c r="F533" s="463">
        <f t="shared" si="9"/>
        <v>1.8744037053212446</v>
      </c>
      <c r="G533" s="464">
        <v>533.50300000000004</v>
      </c>
      <c r="H533" s="469" t="s">
        <v>174</v>
      </c>
      <c r="I533" s="469" t="s">
        <v>3196</v>
      </c>
      <c r="J533" s="247" t="s">
        <v>97</v>
      </c>
      <c r="K533" s="247" t="s">
        <v>1133</v>
      </c>
      <c r="L533" s="247" t="s">
        <v>154</v>
      </c>
      <c r="M533" s="335"/>
      <c r="N533" s="335"/>
      <c r="O533" s="335"/>
      <c r="P533" s="333"/>
      <c r="Q533" s="333"/>
      <c r="R533" s="333"/>
      <c r="S533" s="333"/>
      <c r="T533" s="333"/>
      <c r="U533" s="333"/>
      <c r="V533" s="333"/>
      <c r="W533" s="333"/>
      <c r="X533" s="333"/>
      <c r="Y533" s="333"/>
      <c r="Z533" s="333"/>
      <c r="AA533" s="333"/>
      <c r="AB533" s="333"/>
      <c r="AC533" s="333"/>
      <c r="AD533" s="333"/>
      <c r="AE533" s="333"/>
      <c r="AF533" s="333"/>
      <c r="AG533" s="333"/>
      <c r="AH533" s="333"/>
      <c r="AI533" s="333"/>
      <c r="AJ533" s="333"/>
      <c r="AK533" s="333"/>
      <c r="AL533" s="333"/>
      <c r="AM533" s="333"/>
      <c r="AN533" s="333"/>
      <c r="AO533" s="333"/>
      <c r="AP533" s="333"/>
      <c r="AQ533" s="333"/>
      <c r="AR533" s="333"/>
      <c r="AS533" s="333"/>
      <c r="AT533" s="333"/>
      <c r="AU533" s="333"/>
      <c r="AV533" s="333"/>
      <c r="AW533" s="333"/>
      <c r="AX533" s="333"/>
      <c r="AY533" s="333"/>
    </row>
    <row r="534" spans="1:51">
      <c r="A534" s="476">
        <v>45919</v>
      </c>
      <c r="B534" s="469" t="s">
        <v>3139</v>
      </c>
      <c r="C534" s="469" t="s">
        <v>1007</v>
      </c>
      <c r="D534" s="469" t="s">
        <v>120</v>
      </c>
      <c r="E534" s="469">
        <v>1000</v>
      </c>
      <c r="F534" s="463">
        <f t="shared" si="9"/>
        <v>1.8744037053212446</v>
      </c>
      <c r="G534" s="464">
        <v>533.50300000000004</v>
      </c>
      <c r="H534" s="469" t="s">
        <v>174</v>
      </c>
      <c r="I534" s="469" t="s">
        <v>3196</v>
      </c>
      <c r="J534" s="247" t="s">
        <v>97</v>
      </c>
      <c r="K534" s="247" t="s">
        <v>1133</v>
      </c>
      <c r="L534" s="247" t="s">
        <v>154</v>
      </c>
      <c r="M534" s="335"/>
      <c r="N534" s="335"/>
      <c r="O534" s="335"/>
    </row>
    <row r="535" spans="1:51">
      <c r="A535" s="476">
        <v>45919</v>
      </c>
      <c r="B535" s="469" t="s">
        <v>3319</v>
      </c>
      <c r="C535" s="469" t="s">
        <v>173</v>
      </c>
      <c r="D535" s="469" t="s">
        <v>116</v>
      </c>
      <c r="E535" s="470">
        <v>2000</v>
      </c>
      <c r="F535" s="463">
        <f t="shared" si="9"/>
        <v>3.7488074106424891</v>
      </c>
      <c r="G535" s="464">
        <v>533.50300000000004</v>
      </c>
      <c r="H535" s="469" t="s">
        <v>189</v>
      </c>
      <c r="I535" s="469" t="s">
        <v>3324</v>
      </c>
      <c r="J535" s="247" t="s">
        <v>97</v>
      </c>
      <c r="K535" s="247" t="s">
        <v>1133</v>
      </c>
      <c r="L535" s="247" t="s">
        <v>154</v>
      </c>
      <c r="M535" s="335"/>
      <c r="N535" s="335"/>
      <c r="O535" s="335"/>
    </row>
    <row r="536" spans="1:51">
      <c r="A536" s="476">
        <v>45919</v>
      </c>
      <c r="B536" s="469" t="s">
        <v>3320</v>
      </c>
      <c r="C536" s="469" t="s">
        <v>173</v>
      </c>
      <c r="D536" s="469" t="s">
        <v>116</v>
      </c>
      <c r="E536" s="470">
        <v>1000</v>
      </c>
      <c r="F536" s="463">
        <f t="shared" si="9"/>
        <v>1.8744037053212446</v>
      </c>
      <c r="G536" s="464">
        <v>533.50300000000004</v>
      </c>
      <c r="H536" s="469" t="s">
        <v>189</v>
      </c>
      <c r="I536" s="469" t="s">
        <v>3324</v>
      </c>
      <c r="J536" s="247" t="s">
        <v>97</v>
      </c>
      <c r="K536" s="247" t="s">
        <v>1133</v>
      </c>
      <c r="L536" s="247" t="s">
        <v>154</v>
      </c>
      <c r="M536" s="335"/>
      <c r="N536" s="335"/>
      <c r="O536" s="335"/>
    </row>
    <row r="537" spans="1:51">
      <c r="A537" s="476">
        <v>45919</v>
      </c>
      <c r="B537" s="469" t="s">
        <v>3321</v>
      </c>
      <c r="C537" s="469" t="s">
        <v>173</v>
      </c>
      <c r="D537" s="469" t="s">
        <v>116</v>
      </c>
      <c r="E537" s="470">
        <v>1000</v>
      </c>
      <c r="F537" s="463">
        <f t="shared" si="9"/>
        <v>1.8744037053212446</v>
      </c>
      <c r="G537" s="464">
        <v>533.50300000000004</v>
      </c>
      <c r="H537" s="469" t="s">
        <v>189</v>
      </c>
      <c r="I537" s="469" t="s">
        <v>3324</v>
      </c>
      <c r="J537" s="247" t="s">
        <v>97</v>
      </c>
      <c r="K537" s="247" t="s">
        <v>1133</v>
      </c>
      <c r="L537" s="247" t="s">
        <v>154</v>
      </c>
      <c r="M537" s="335"/>
      <c r="N537" s="335"/>
      <c r="O537" s="335"/>
    </row>
    <row r="538" spans="1:51">
      <c r="A538" s="476">
        <v>45919</v>
      </c>
      <c r="B538" s="469" t="s">
        <v>3310</v>
      </c>
      <c r="C538" s="469" t="s">
        <v>173</v>
      </c>
      <c r="D538" s="469" t="s">
        <v>116</v>
      </c>
      <c r="E538" s="470">
        <v>1000</v>
      </c>
      <c r="F538" s="463">
        <f t="shared" si="9"/>
        <v>1.8744037053212446</v>
      </c>
      <c r="G538" s="464">
        <v>533.50300000000004</v>
      </c>
      <c r="H538" s="469" t="s">
        <v>189</v>
      </c>
      <c r="I538" s="469" t="s">
        <v>3324</v>
      </c>
      <c r="J538" s="247" t="s">
        <v>97</v>
      </c>
      <c r="K538" s="247" t="s">
        <v>1133</v>
      </c>
      <c r="L538" s="247" t="s">
        <v>154</v>
      </c>
      <c r="M538" s="335"/>
      <c r="N538" s="335"/>
      <c r="O538" s="335"/>
    </row>
    <row r="539" spans="1:51">
      <c r="A539" s="471">
        <v>45919</v>
      </c>
      <c r="B539" s="469" t="s">
        <v>3354</v>
      </c>
      <c r="C539" s="247" t="s">
        <v>173</v>
      </c>
      <c r="D539" s="247" t="s">
        <v>116</v>
      </c>
      <c r="E539" s="468">
        <v>1500</v>
      </c>
      <c r="F539" s="463">
        <f t="shared" si="9"/>
        <v>2.8116055579818666</v>
      </c>
      <c r="G539" s="464">
        <v>533.50300000000004</v>
      </c>
      <c r="H539" s="247" t="s">
        <v>192</v>
      </c>
      <c r="I539" s="469" t="s">
        <v>3360</v>
      </c>
      <c r="J539" s="247" t="s">
        <v>97</v>
      </c>
      <c r="K539" s="247" t="s">
        <v>1133</v>
      </c>
      <c r="L539" s="247" t="s">
        <v>154</v>
      </c>
      <c r="M539" s="414"/>
      <c r="N539" s="76"/>
      <c r="O539" s="76"/>
    </row>
    <row r="540" spans="1:51">
      <c r="A540" s="471">
        <v>45919</v>
      </c>
      <c r="B540" s="469" t="s">
        <v>3355</v>
      </c>
      <c r="C540" s="247" t="s">
        <v>173</v>
      </c>
      <c r="D540" s="247" t="s">
        <v>116</v>
      </c>
      <c r="E540" s="468">
        <v>1000</v>
      </c>
      <c r="F540" s="463">
        <f t="shared" si="9"/>
        <v>1.8744037053212446</v>
      </c>
      <c r="G540" s="464">
        <v>533.50300000000004</v>
      </c>
      <c r="H540" s="247" t="s">
        <v>192</v>
      </c>
      <c r="I540" s="469" t="s">
        <v>3360</v>
      </c>
      <c r="J540" s="247" t="s">
        <v>97</v>
      </c>
      <c r="K540" s="247" t="s">
        <v>1133</v>
      </c>
      <c r="L540" s="247" t="s">
        <v>154</v>
      </c>
      <c r="M540" s="414"/>
      <c r="N540" s="76"/>
      <c r="O540" s="76"/>
    </row>
    <row r="541" spans="1:51">
      <c r="A541" s="471">
        <v>45919</v>
      </c>
      <c r="B541" s="469" t="s">
        <v>3356</v>
      </c>
      <c r="C541" s="247" t="s">
        <v>173</v>
      </c>
      <c r="D541" s="247" t="s">
        <v>116</v>
      </c>
      <c r="E541" s="468">
        <v>1500</v>
      </c>
      <c r="F541" s="463">
        <f t="shared" si="9"/>
        <v>2.8116055579818666</v>
      </c>
      <c r="G541" s="464">
        <v>533.50300000000004</v>
      </c>
      <c r="H541" s="247" t="s">
        <v>192</v>
      </c>
      <c r="I541" s="469" t="s">
        <v>3360</v>
      </c>
      <c r="J541" s="247" t="s">
        <v>97</v>
      </c>
      <c r="K541" s="247" t="s">
        <v>1133</v>
      </c>
      <c r="L541" s="247" t="s">
        <v>154</v>
      </c>
      <c r="M541" s="414"/>
      <c r="N541" s="76"/>
      <c r="O541" s="76"/>
    </row>
    <row r="542" spans="1:51">
      <c r="A542" s="471">
        <v>45919</v>
      </c>
      <c r="B542" s="469" t="s">
        <v>3357</v>
      </c>
      <c r="C542" s="247" t="s">
        <v>173</v>
      </c>
      <c r="D542" s="247" t="s">
        <v>116</v>
      </c>
      <c r="E542" s="468">
        <v>1000</v>
      </c>
      <c r="F542" s="463">
        <f t="shared" ref="F542:F605" si="10">E542/G542</f>
        <v>1.8744037053212446</v>
      </c>
      <c r="G542" s="464">
        <v>533.50300000000004</v>
      </c>
      <c r="H542" s="247" t="s">
        <v>192</v>
      </c>
      <c r="I542" s="469" t="s">
        <v>3360</v>
      </c>
      <c r="J542" s="247" t="s">
        <v>97</v>
      </c>
      <c r="K542" s="247" t="s">
        <v>1133</v>
      </c>
      <c r="L542" s="247" t="s">
        <v>154</v>
      </c>
      <c r="M542" s="414"/>
      <c r="N542" s="76"/>
      <c r="O542" s="76"/>
    </row>
    <row r="543" spans="1:51">
      <c r="A543" s="471">
        <v>45919</v>
      </c>
      <c r="B543" s="469" t="s">
        <v>3358</v>
      </c>
      <c r="C543" s="247" t="s">
        <v>173</v>
      </c>
      <c r="D543" s="247" t="s">
        <v>116</v>
      </c>
      <c r="E543" s="468">
        <v>2000</v>
      </c>
      <c r="F543" s="463">
        <f t="shared" si="10"/>
        <v>3.7488074106424891</v>
      </c>
      <c r="G543" s="464">
        <v>533.50300000000004</v>
      </c>
      <c r="H543" s="247" t="s">
        <v>192</v>
      </c>
      <c r="I543" s="469" t="s">
        <v>3360</v>
      </c>
      <c r="J543" s="247" t="s">
        <v>97</v>
      </c>
      <c r="K543" s="247" t="s">
        <v>1133</v>
      </c>
      <c r="L543" s="247" t="s">
        <v>154</v>
      </c>
      <c r="M543" s="414"/>
      <c r="N543" s="76"/>
      <c r="O543" s="76"/>
    </row>
    <row r="544" spans="1:51">
      <c r="A544" s="471">
        <v>45919</v>
      </c>
      <c r="B544" s="469" t="s">
        <v>818</v>
      </c>
      <c r="C544" s="469" t="s">
        <v>171</v>
      </c>
      <c r="D544" s="469" t="s">
        <v>117</v>
      </c>
      <c r="E544" s="468">
        <v>31250</v>
      </c>
      <c r="F544" s="463">
        <f t="shared" si="10"/>
        <v>58.575115791288894</v>
      </c>
      <c r="G544" s="464">
        <v>533.50300000000004</v>
      </c>
      <c r="H544" s="469" t="s">
        <v>192</v>
      </c>
      <c r="I544" s="247" t="s">
        <v>3372</v>
      </c>
      <c r="J544" s="247" t="s">
        <v>97</v>
      </c>
      <c r="K544" s="247" t="s">
        <v>1133</v>
      </c>
      <c r="L544" s="247" t="s">
        <v>154</v>
      </c>
      <c r="M544" s="414"/>
      <c r="N544" s="76"/>
      <c r="O544" s="76"/>
    </row>
    <row r="545" spans="1:15">
      <c r="A545" s="476">
        <v>45919</v>
      </c>
      <c r="B545" s="487" t="s">
        <v>3585</v>
      </c>
      <c r="C545" s="486" t="s">
        <v>122</v>
      </c>
      <c r="D545" s="489" t="s">
        <v>116</v>
      </c>
      <c r="E545" s="468">
        <v>150000</v>
      </c>
      <c r="F545" s="463">
        <f t="shared" si="10"/>
        <v>267.40732553454723</v>
      </c>
      <c r="G545" s="464">
        <v>560.94200000000001</v>
      </c>
      <c r="H545" s="469" t="s">
        <v>147</v>
      </c>
      <c r="I545" s="469" t="s">
        <v>3600</v>
      </c>
      <c r="J545" s="247" t="s">
        <v>97</v>
      </c>
      <c r="K545" s="247" t="s">
        <v>1903</v>
      </c>
      <c r="L545" s="247" t="s">
        <v>154</v>
      </c>
      <c r="M545" s="414"/>
      <c r="N545" s="76"/>
      <c r="O545" s="76"/>
    </row>
    <row r="546" spans="1:15">
      <c r="A546" s="476">
        <v>45920</v>
      </c>
      <c r="B546" s="469" t="s">
        <v>2100</v>
      </c>
      <c r="C546" s="462" t="s">
        <v>173</v>
      </c>
      <c r="D546" s="462" t="s">
        <v>118</v>
      </c>
      <c r="E546" s="359">
        <v>1000</v>
      </c>
      <c r="F546" s="463">
        <f t="shared" si="10"/>
        <v>1.8744037053212446</v>
      </c>
      <c r="G546" s="464">
        <v>533.50300000000004</v>
      </c>
      <c r="H546" s="465" t="s">
        <v>152</v>
      </c>
      <c r="I546" s="469" t="s">
        <v>2868</v>
      </c>
      <c r="J546" s="247" t="s">
        <v>97</v>
      </c>
      <c r="K546" s="247" t="s">
        <v>1133</v>
      </c>
      <c r="L546" s="247" t="s">
        <v>154</v>
      </c>
      <c r="M546" s="414"/>
      <c r="N546" s="414"/>
      <c r="O546" s="414"/>
    </row>
    <row r="547" spans="1:15">
      <c r="A547" s="476">
        <v>45920</v>
      </c>
      <c r="B547" s="469" t="s">
        <v>2101</v>
      </c>
      <c r="C547" s="462" t="s">
        <v>173</v>
      </c>
      <c r="D547" s="462" t="s">
        <v>118</v>
      </c>
      <c r="E547" s="359">
        <v>1000</v>
      </c>
      <c r="F547" s="463">
        <f t="shared" si="10"/>
        <v>1.8744037053212446</v>
      </c>
      <c r="G547" s="464">
        <v>533.50300000000004</v>
      </c>
      <c r="H547" s="465" t="s">
        <v>152</v>
      </c>
      <c r="I547" s="469" t="s">
        <v>2868</v>
      </c>
      <c r="J547" s="247" t="s">
        <v>97</v>
      </c>
      <c r="K547" s="247" t="s">
        <v>1133</v>
      </c>
      <c r="L547" s="247" t="s">
        <v>154</v>
      </c>
      <c r="M547" s="414"/>
      <c r="N547" s="414"/>
      <c r="O547" s="414"/>
    </row>
    <row r="548" spans="1:15">
      <c r="A548" s="476">
        <v>45920</v>
      </c>
      <c r="B548" s="469" t="s">
        <v>3160</v>
      </c>
      <c r="C548" s="469" t="s">
        <v>1007</v>
      </c>
      <c r="D548" s="469" t="s">
        <v>120</v>
      </c>
      <c r="E548" s="469">
        <v>1000</v>
      </c>
      <c r="F548" s="463">
        <f t="shared" si="10"/>
        <v>1.8744037053212446</v>
      </c>
      <c r="G548" s="464">
        <v>533.50300000000004</v>
      </c>
      <c r="H548" s="469" t="s">
        <v>174</v>
      </c>
      <c r="I548" s="469" t="s">
        <v>3196</v>
      </c>
      <c r="J548" s="247" t="s">
        <v>97</v>
      </c>
      <c r="K548" s="247" t="s">
        <v>1133</v>
      </c>
      <c r="L548" s="247" t="s">
        <v>154</v>
      </c>
      <c r="M548" s="335"/>
      <c r="N548" s="335"/>
      <c r="O548" s="335"/>
    </row>
    <row r="549" spans="1:15">
      <c r="A549" s="476">
        <v>45920</v>
      </c>
      <c r="B549" s="469" t="s">
        <v>3161</v>
      </c>
      <c r="C549" s="469" t="s">
        <v>1007</v>
      </c>
      <c r="D549" s="469" t="s">
        <v>120</v>
      </c>
      <c r="E549" s="469">
        <v>2500</v>
      </c>
      <c r="F549" s="463">
        <f t="shared" si="10"/>
        <v>4.6860092633031112</v>
      </c>
      <c r="G549" s="464">
        <v>533.50300000000004</v>
      </c>
      <c r="H549" s="469" t="s">
        <v>174</v>
      </c>
      <c r="I549" s="469" t="s">
        <v>3196</v>
      </c>
      <c r="J549" s="247" t="s">
        <v>97</v>
      </c>
      <c r="K549" s="247" t="s">
        <v>1133</v>
      </c>
      <c r="L549" s="247" t="s">
        <v>154</v>
      </c>
      <c r="M549" s="335"/>
      <c r="N549" s="335"/>
      <c r="O549" s="335"/>
    </row>
    <row r="550" spans="1:15">
      <c r="A550" s="476">
        <v>45920</v>
      </c>
      <c r="B550" s="469" t="s">
        <v>3166</v>
      </c>
      <c r="C550" s="469" t="s">
        <v>1007</v>
      </c>
      <c r="D550" s="469" t="s">
        <v>120</v>
      </c>
      <c r="E550" s="469">
        <v>2500</v>
      </c>
      <c r="F550" s="463">
        <f t="shared" si="10"/>
        <v>4.6860092633031112</v>
      </c>
      <c r="G550" s="464">
        <v>533.50300000000004</v>
      </c>
      <c r="H550" s="469" t="s">
        <v>174</v>
      </c>
      <c r="I550" s="469" t="s">
        <v>3196</v>
      </c>
      <c r="J550" s="247" t="s">
        <v>97</v>
      </c>
      <c r="K550" s="247" t="s">
        <v>1133</v>
      </c>
      <c r="L550" s="247" t="s">
        <v>154</v>
      </c>
      <c r="M550" s="335"/>
      <c r="N550" s="335"/>
      <c r="O550" s="335"/>
    </row>
    <row r="551" spans="1:15">
      <c r="A551" s="476">
        <v>45920</v>
      </c>
      <c r="B551" s="469" t="s">
        <v>3167</v>
      </c>
      <c r="C551" s="469" t="s">
        <v>1007</v>
      </c>
      <c r="D551" s="469" t="s">
        <v>120</v>
      </c>
      <c r="E551" s="469">
        <v>1000</v>
      </c>
      <c r="F551" s="463">
        <f t="shared" si="10"/>
        <v>1.8744037053212446</v>
      </c>
      <c r="G551" s="464">
        <v>533.50300000000004</v>
      </c>
      <c r="H551" s="469" t="s">
        <v>174</v>
      </c>
      <c r="I551" s="469" t="s">
        <v>3196</v>
      </c>
      <c r="J551" s="247" t="s">
        <v>97</v>
      </c>
      <c r="K551" s="247" t="s">
        <v>1133</v>
      </c>
      <c r="L551" s="247" t="s">
        <v>154</v>
      </c>
      <c r="M551" s="335"/>
      <c r="N551" s="335"/>
      <c r="O551" s="335"/>
    </row>
    <row r="552" spans="1:15">
      <c r="A552" s="476">
        <v>45921</v>
      </c>
      <c r="B552" s="469" t="s">
        <v>2100</v>
      </c>
      <c r="C552" s="462" t="s">
        <v>173</v>
      </c>
      <c r="D552" s="462" t="s">
        <v>118</v>
      </c>
      <c r="E552" s="359">
        <v>1000</v>
      </c>
      <c r="F552" s="463">
        <f t="shared" si="10"/>
        <v>1.8744037053212446</v>
      </c>
      <c r="G552" s="464">
        <v>533.50300000000004</v>
      </c>
      <c r="H552" s="465" t="s">
        <v>152</v>
      </c>
      <c r="I552" s="469" t="s">
        <v>2868</v>
      </c>
      <c r="J552" s="247" t="s">
        <v>97</v>
      </c>
      <c r="K552" s="247" t="s">
        <v>1133</v>
      </c>
      <c r="L552" s="247" t="s">
        <v>154</v>
      </c>
      <c r="M552" s="414"/>
      <c r="N552" s="414"/>
      <c r="O552" s="414"/>
    </row>
    <row r="553" spans="1:15">
      <c r="A553" s="476">
        <v>45921</v>
      </c>
      <c r="B553" s="469" t="s">
        <v>2101</v>
      </c>
      <c r="C553" s="462" t="s">
        <v>173</v>
      </c>
      <c r="D553" s="462" t="s">
        <v>118</v>
      </c>
      <c r="E553" s="359">
        <v>1000</v>
      </c>
      <c r="F553" s="463">
        <f t="shared" si="10"/>
        <v>1.8744037053212446</v>
      </c>
      <c r="G553" s="464">
        <v>533.50300000000004</v>
      </c>
      <c r="H553" s="465" t="s">
        <v>152</v>
      </c>
      <c r="I553" s="469" t="s">
        <v>2868</v>
      </c>
      <c r="J553" s="247" t="s">
        <v>97</v>
      </c>
      <c r="K553" s="247" t="s">
        <v>1133</v>
      </c>
      <c r="L553" s="247" t="s">
        <v>154</v>
      </c>
      <c r="M553" s="335"/>
      <c r="N553" s="335"/>
      <c r="O553" s="335"/>
    </row>
    <row r="554" spans="1:15">
      <c r="A554" s="476">
        <v>45921</v>
      </c>
      <c r="B554" s="469" t="s">
        <v>3160</v>
      </c>
      <c r="C554" s="469" t="s">
        <v>1007</v>
      </c>
      <c r="D554" s="469" t="s">
        <v>120</v>
      </c>
      <c r="E554" s="469">
        <v>1000</v>
      </c>
      <c r="F554" s="463">
        <f t="shared" si="10"/>
        <v>1.8744037053212446</v>
      </c>
      <c r="G554" s="464">
        <v>533.50300000000004</v>
      </c>
      <c r="H554" s="469" t="s">
        <v>174</v>
      </c>
      <c r="I554" s="469" t="s">
        <v>3196</v>
      </c>
      <c r="J554" s="247" t="s">
        <v>97</v>
      </c>
      <c r="K554" s="247" t="s">
        <v>1133</v>
      </c>
      <c r="L554" s="247" t="s">
        <v>154</v>
      </c>
      <c r="M554" s="335"/>
      <c r="N554" s="335"/>
      <c r="O554" s="335"/>
    </row>
    <row r="555" spans="1:15">
      <c r="A555" s="476">
        <v>45921</v>
      </c>
      <c r="B555" s="469" t="s">
        <v>3161</v>
      </c>
      <c r="C555" s="469" t="s">
        <v>1007</v>
      </c>
      <c r="D555" s="469" t="s">
        <v>120</v>
      </c>
      <c r="E555" s="469">
        <v>2500</v>
      </c>
      <c r="F555" s="463">
        <f t="shared" si="10"/>
        <v>4.6860092633031112</v>
      </c>
      <c r="G555" s="464">
        <v>533.50300000000004</v>
      </c>
      <c r="H555" s="469" t="s">
        <v>174</v>
      </c>
      <c r="I555" s="469" t="s">
        <v>3196</v>
      </c>
      <c r="J555" s="247" t="s">
        <v>97</v>
      </c>
      <c r="K555" s="247" t="s">
        <v>1133</v>
      </c>
      <c r="L555" s="247" t="s">
        <v>154</v>
      </c>
      <c r="M555" s="335"/>
      <c r="N555" s="335"/>
      <c r="O555" s="335"/>
    </row>
    <row r="556" spans="1:15">
      <c r="A556" s="476">
        <v>45921</v>
      </c>
      <c r="B556" s="469" t="s">
        <v>3166</v>
      </c>
      <c r="C556" s="469" t="s">
        <v>1007</v>
      </c>
      <c r="D556" s="469" t="s">
        <v>120</v>
      </c>
      <c r="E556" s="469">
        <v>2500</v>
      </c>
      <c r="F556" s="463">
        <f t="shared" si="10"/>
        <v>4.6860092633031112</v>
      </c>
      <c r="G556" s="464">
        <v>533.50300000000004</v>
      </c>
      <c r="H556" s="469" t="s">
        <v>174</v>
      </c>
      <c r="I556" s="469" t="s">
        <v>3196</v>
      </c>
      <c r="J556" s="247" t="s">
        <v>97</v>
      </c>
      <c r="K556" s="247" t="s">
        <v>1133</v>
      </c>
      <c r="L556" s="247" t="s">
        <v>154</v>
      </c>
      <c r="M556" s="414"/>
      <c r="N556" s="414"/>
      <c r="O556" s="414"/>
    </row>
    <row r="557" spans="1:15">
      <c r="A557" s="476">
        <v>45921</v>
      </c>
      <c r="B557" s="469" t="s">
        <v>3168</v>
      </c>
      <c r="C557" s="469" t="s">
        <v>1007</v>
      </c>
      <c r="D557" s="469" t="s">
        <v>120</v>
      </c>
      <c r="E557" s="469">
        <v>1000</v>
      </c>
      <c r="F557" s="463">
        <f t="shared" si="10"/>
        <v>1.8744037053212446</v>
      </c>
      <c r="G557" s="464">
        <v>533.50300000000004</v>
      </c>
      <c r="H557" s="469" t="s">
        <v>174</v>
      </c>
      <c r="I557" s="469" t="s">
        <v>3196</v>
      </c>
      <c r="J557" s="247" t="s">
        <v>97</v>
      </c>
      <c r="K557" s="247" t="s">
        <v>1133</v>
      </c>
      <c r="L557" s="247" t="s">
        <v>154</v>
      </c>
      <c r="M557" s="414"/>
      <c r="N557" s="414"/>
      <c r="O557" s="414"/>
    </row>
    <row r="558" spans="1:15">
      <c r="A558" s="476">
        <v>45921</v>
      </c>
      <c r="B558" s="469" t="s">
        <v>3169</v>
      </c>
      <c r="C558" s="469" t="s">
        <v>368</v>
      </c>
      <c r="D558" s="469" t="s">
        <v>120</v>
      </c>
      <c r="E558" s="469">
        <v>1500</v>
      </c>
      <c r="F558" s="463">
        <f t="shared" si="10"/>
        <v>2.8116055579818666</v>
      </c>
      <c r="G558" s="464">
        <v>533.50300000000004</v>
      </c>
      <c r="H558" s="469" t="s">
        <v>174</v>
      </c>
      <c r="I558" s="469" t="s">
        <v>3201</v>
      </c>
      <c r="J558" s="247" t="s">
        <v>97</v>
      </c>
      <c r="K558" s="247" t="s">
        <v>1133</v>
      </c>
      <c r="L558" s="247" t="s">
        <v>154</v>
      </c>
      <c r="M558" s="414"/>
      <c r="N558" s="414"/>
      <c r="O558" s="414"/>
    </row>
    <row r="559" spans="1:15">
      <c r="A559" s="476">
        <v>45922</v>
      </c>
      <c r="B559" s="469" t="s">
        <v>2100</v>
      </c>
      <c r="C559" s="462" t="s">
        <v>173</v>
      </c>
      <c r="D559" s="462" t="s">
        <v>118</v>
      </c>
      <c r="E559" s="359">
        <v>1000</v>
      </c>
      <c r="F559" s="463">
        <f t="shared" si="10"/>
        <v>1.8744037053212446</v>
      </c>
      <c r="G559" s="464">
        <v>533.50300000000004</v>
      </c>
      <c r="H559" s="465" t="s">
        <v>152</v>
      </c>
      <c r="I559" s="469" t="s">
        <v>2868</v>
      </c>
      <c r="J559" s="247" t="s">
        <v>97</v>
      </c>
      <c r="K559" s="247" t="s">
        <v>1133</v>
      </c>
      <c r="L559" s="247" t="s">
        <v>154</v>
      </c>
      <c r="M559" s="335"/>
      <c r="N559" s="335"/>
      <c r="O559" s="335"/>
    </row>
    <row r="560" spans="1:15">
      <c r="A560" s="476">
        <v>45922</v>
      </c>
      <c r="B560" s="469" t="s">
        <v>2101</v>
      </c>
      <c r="C560" s="462" t="s">
        <v>173</v>
      </c>
      <c r="D560" s="462" t="s">
        <v>118</v>
      </c>
      <c r="E560" s="359">
        <v>1000</v>
      </c>
      <c r="F560" s="463">
        <f t="shared" si="10"/>
        <v>1.8744037053212446</v>
      </c>
      <c r="G560" s="464">
        <v>533.50300000000004</v>
      </c>
      <c r="H560" s="465" t="s">
        <v>152</v>
      </c>
      <c r="I560" s="469" t="s">
        <v>2868</v>
      </c>
      <c r="J560" s="247" t="s">
        <v>97</v>
      </c>
      <c r="K560" s="247" t="s">
        <v>1133</v>
      </c>
      <c r="L560" s="247" t="s">
        <v>154</v>
      </c>
      <c r="M560" s="414"/>
      <c r="N560" s="414"/>
      <c r="O560" s="414"/>
    </row>
    <row r="561" spans="1:15">
      <c r="A561" s="467">
        <v>45922</v>
      </c>
      <c r="B561" s="469" t="s">
        <v>2942</v>
      </c>
      <c r="C561" s="469" t="s">
        <v>173</v>
      </c>
      <c r="D561" s="469" t="s">
        <v>117</v>
      </c>
      <c r="E561" s="470">
        <v>1000</v>
      </c>
      <c r="F561" s="463">
        <f t="shared" si="10"/>
        <v>1.8744037053212446</v>
      </c>
      <c r="G561" s="464">
        <v>533.50300000000004</v>
      </c>
      <c r="H561" s="469" t="s">
        <v>583</v>
      </c>
      <c r="I561" s="469" t="s">
        <v>2970</v>
      </c>
      <c r="J561" s="247" t="s">
        <v>97</v>
      </c>
      <c r="K561" s="247" t="s">
        <v>1133</v>
      </c>
      <c r="L561" s="247" t="s">
        <v>154</v>
      </c>
      <c r="M561" s="335"/>
      <c r="N561" s="335"/>
      <c r="O561" s="335"/>
    </row>
    <row r="562" spans="1:15">
      <c r="A562" s="467">
        <v>45922</v>
      </c>
      <c r="B562" s="469" t="s">
        <v>2940</v>
      </c>
      <c r="C562" s="469" t="s">
        <v>173</v>
      </c>
      <c r="D562" s="469" t="s">
        <v>117</v>
      </c>
      <c r="E562" s="470">
        <v>1000</v>
      </c>
      <c r="F562" s="463">
        <f t="shared" si="10"/>
        <v>1.8744037053212446</v>
      </c>
      <c r="G562" s="464">
        <v>533.50300000000004</v>
      </c>
      <c r="H562" s="469" t="s">
        <v>583</v>
      </c>
      <c r="I562" s="469" t="s">
        <v>2970</v>
      </c>
      <c r="J562" s="247" t="s">
        <v>97</v>
      </c>
      <c r="K562" s="247" t="s">
        <v>1133</v>
      </c>
      <c r="L562" s="247" t="s">
        <v>154</v>
      </c>
      <c r="M562" s="335"/>
      <c r="N562" s="335"/>
      <c r="O562" s="335"/>
    </row>
    <row r="563" spans="1:15">
      <c r="A563" s="474">
        <v>45922</v>
      </c>
      <c r="B563" s="475" t="s">
        <v>3075</v>
      </c>
      <c r="C563" s="475" t="s">
        <v>173</v>
      </c>
      <c r="D563" s="475" t="s">
        <v>120</v>
      </c>
      <c r="E563" s="475">
        <v>1000</v>
      </c>
      <c r="F563" s="463">
        <f t="shared" si="10"/>
        <v>1.8744037053212446</v>
      </c>
      <c r="G563" s="464">
        <v>533.50300000000004</v>
      </c>
      <c r="H563" s="475" t="s">
        <v>183</v>
      </c>
      <c r="I563" s="475" t="s">
        <v>3086</v>
      </c>
      <c r="J563" s="247" t="s">
        <v>97</v>
      </c>
      <c r="K563" s="247" t="s">
        <v>1133</v>
      </c>
      <c r="L563" s="247" t="s">
        <v>154</v>
      </c>
      <c r="M563" s="414"/>
      <c r="N563" s="414"/>
      <c r="O563" s="414"/>
    </row>
    <row r="564" spans="1:15">
      <c r="A564" s="474">
        <v>45922</v>
      </c>
      <c r="B564" s="475" t="s">
        <v>3076</v>
      </c>
      <c r="C564" s="475" t="s">
        <v>173</v>
      </c>
      <c r="D564" s="475" t="s">
        <v>120</v>
      </c>
      <c r="E564" s="475">
        <v>1000</v>
      </c>
      <c r="F564" s="463">
        <f t="shared" si="10"/>
        <v>1.8744037053212446</v>
      </c>
      <c r="G564" s="464">
        <v>533.50300000000004</v>
      </c>
      <c r="H564" s="475" t="s">
        <v>183</v>
      </c>
      <c r="I564" s="475" t="s">
        <v>3086</v>
      </c>
      <c r="J564" s="247" t="s">
        <v>97</v>
      </c>
      <c r="K564" s="247" t="s">
        <v>1133</v>
      </c>
      <c r="L564" s="247" t="s">
        <v>154</v>
      </c>
      <c r="M564" s="414"/>
      <c r="N564" s="414"/>
      <c r="O564" s="414"/>
    </row>
    <row r="565" spans="1:15">
      <c r="A565" s="476">
        <v>45922</v>
      </c>
      <c r="B565" s="469" t="s">
        <v>3138</v>
      </c>
      <c r="C565" s="469" t="s">
        <v>173</v>
      </c>
      <c r="D565" s="469" t="s">
        <v>120</v>
      </c>
      <c r="E565" s="469">
        <v>1000</v>
      </c>
      <c r="F565" s="463">
        <f t="shared" si="10"/>
        <v>1.8744037053212446</v>
      </c>
      <c r="G565" s="464">
        <v>533.50300000000004</v>
      </c>
      <c r="H565" s="469" t="s">
        <v>174</v>
      </c>
      <c r="I565" s="469" t="s">
        <v>3196</v>
      </c>
      <c r="J565" s="247" t="s">
        <v>97</v>
      </c>
      <c r="K565" s="247" t="s">
        <v>1133</v>
      </c>
      <c r="L565" s="247" t="s">
        <v>154</v>
      </c>
      <c r="M565" s="414"/>
      <c r="N565" s="414"/>
      <c r="O565" s="414"/>
    </row>
    <row r="566" spans="1:15">
      <c r="A566" s="476">
        <v>45922</v>
      </c>
      <c r="B566" s="469" t="s">
        <v>3139</v>
      </c>
      <c r="C566" s="469" t="s">
        <v>173</v>
      </c>
      <c r="D566" s="469" t="s">
        <v>120</v>
      </c>
      <c r="E566" s="469">
        <v>1000</v>
      </c>
      <c r="F566" s="463">
        <f t="shared" si="10"/>
        <v>1.8744037053212446</v>
      </c>
      <c r="G566" s="464">
        <v>533.50300000000004</v>
      </c>
      <c r="H566" s="469" t="s">
        <v>174</v>
      </c>
      <c r="I566" s="469" t="s">
        <v>3196</v>
      </c>
      <c r="J566" s="247" t="s">
        <v>97</v>
      </c>
      <c r="K566" s="247" t="s">
        <v>1133</v>
      </c>
      <c r="L566" s="247" t="s">
        <v>154</v>
      </c>
      <c r="M566" s="414"/>
      <c r="N566" s="414"/>
      <c r="O566" s="414"/>
    </row>
    <row r="567" spans="1:15">
      <c r="A567" s="471">
        <v>45922</v>
      </c>
      <c r="B567" s="247" t="s">
        <v>584</v>
      </c>
      <c r="C567" s="469" t="s">
        <v>368</v>
      </c>
      <c r="D567" s="469" t="s">
        <v>120</v>
      </c>
      <c r="E567" s="468">
        <v>35000</v>
      </c>
      <c r="F567" s="463">
        <f t="shared" si="10"/>
        <v>65.604129686243553</v>
      </c>
      <c r="G567" s="464">
        <v>533.50300000000004</v>
      </c>
      <c r="H567" s="247" t="s">
        <v>186</v>
      </c>
      <c r="I567" s="247" t="s">
        <v>3511</v>
      </c>
      <c r="J567" s="247" t="s">
        <v>97</v>
      </c>
      <c r="K567" s="247" t="s">
        <v>1133</v>
      </c>
      <c r="L567" s="247" t="s">
        <v>154</v>
      </c>
      <c r="M567" s="414"/>
      <c r="N567" s="76"/>
      <c r="O567" s="76"/>
    </row>
    <row r="568" spans="1:15">
      <c r="A568" s="471">
        <v>45922</v>
      </c>
      <c r="B568" s="247" t="s">
        <v>3498</v>
      </c>
      <c r="C568" s="469" t="s">
        <v>181</v>
      </c>
      <c r="D568" s="469" t="s">
        <v>117</v>
      </c>
      <c r="E568" s="482">
        <v>2278</v>
      </c>
      <c r="F568" s="463">
        <f t="shared" si="10"/>
        <v>4.2698916407217951</v>
      </c>
      <c r="G568" s="464">
        <v>533.50300000000004</v>
      </c>
      <c r="H568" s="469" t="s">
        <v>186</v>
      </c>
      <c r="I568" s="247" t="s">
        <v>3512</v>
      </c>
      <c r="J568" s="247" t="s">
        <v>97</v>
      </c>
      <c r="K568" s="247" t="s">
        <v>1133</v>
      </c>
      <c r="L568" s="247" t="s">
        <v>154</v>
      </c>
      <c r="M568" s="414"/>
      <c r="N568" s="76"/>
      <c r="O568" s="76"/>
    </row>
    <row r="569" spans="1:15">
      <c r="A569" s="476">
        <v>45923</v>
      </c>
      <c r="B569" s="469" t="s">
        <v>2100</v>
      </c>
      <c r="C569" s="462" t="s">
        <v>173</v>
      </c>
      <c r="D569" s="462" t="s">
        <v>118</v>
      </c>
      <c r="E569" s="359">
        <v>1000</v>
      </c>
      <c r="F569" s="463">
        <f t="shared" si="10"/>
        <v>1.8744037053212446</v>
      </c>
      <c r="G569" s="464">
        <v>533.50300000000004</v>
      </c>
      <c r="H569" s="465" t="s">
        <v>152</v>
      </c>
      <c r="I569" s="469" t="s">
        <v>2868</v>
      </c>
      <c r="J569" s="247" t="s">
        <v>97</v>
      </c>
      <c r="K569" s="247" t="s">
        <v>1133</v>
      </c>
      <c r="L569" s="247" t="s">
        <v>154</v>
      </c>
      <c r="M569" s="414"/>
      <c r="N569" s="414"/>
      <c r="O569" s="414"/>
    </row>
    <row r="570" spans="1:15">
      <c r="A570" s="476">
        <v>45923</v>
      </c>
      <c r="B570" s="469" t="s">
        <v>2859</v>
      </c>
      <c r="C570" s="462" t="s">
        <v>173</v>
      </c>
      <c r="D570" s="462" t="s">
        <v>118</v>
      </c>
      <c r="E570" s="359">
        <v>1000</v>
      </c>
      <c r="F570" s="463">
        <f t="shared" si="10"/>
        <v>1.8744037053212446</v>
      </c>
      <c r="G570" s="464">
        <v>533.50300000000004</v>
      </c>
      <c r="H570" s="465" t="s">
        <v>152</v>
      </c>
      <c r="I570" s="469" t="s">
        <v>2868</v>
      </c>
      <c r="J570" s="247" t="s">
        <v>97</v>
      </c>
      <c r="K570" s="247" t="s">
        <v>1133</v>
      </c>
      <c r="L570" s="247" t="s">
        <v>154</v>
      </c>
      <c r="M570" s="414"/>
      <c r="N570" s="414"/>
      <c r="O570" s="414"/>
    </row>
    <row r="571" spans="1:15">
      <c r="A571" s="476">
        <v>45923</v>
      </c>
      <c r="B571" s="469" t="s">
        <v>2860</v>
      </c>
      <c r="C571" s="462" t="s">
        <v>173</v>
      </c>
      <c r="D571" s="462" t="s">
        <v>118</v>
      </c>
      <c r="E571" s="359">
        <v>1000</v>
      </c>
      <c r="F571" s="463">
        <f t="shared" si="10"/>
        <v>1.8744037053212446</v>
      </c>
      <c r="G571" s="464">
        <v>533.50300000000004</v>
      </c>
      <c r="H571" s="465" t="s">
        <v>152</v>
      </c>
      <c r="I571" s="469" t="s">
        <v>2868</v>
      </c>
      <c r="J571" s="247" t="s">
        <v>97</v>
      </c>
      <c r="K571" s="247" t="s">
        <v>1133</v>
      </c>
      <c r="L571" s="247" t="s">
        <v>154</v>
      </c>
      <c r="M571" s="414"/>
      <c r="N571" s="414"/>
      <c r="O571" s="414"/>
    </row>
    <row r="572" spans="1:15">
      <c r="A572" s="476">
        <v>45923</v>
      </c>
      <c r="B572" s="469" t="s">
        <v>2101</v>
      </c>
      <c r="C572" s="462" t="s">
        <v>173</v>
      </c>
      <c r="D572" s="462" t="s">
        <v>118</v>
      </c>
      <c r="E572" s="359">
        <v>1000</v>
      </c>
      <c r="F572" s="463">
        <f t="shared" si="10"/>
        <v>1.8744037053212446</v>
      </c>
      <c r="G572" s="464">
        <v>533.50300000000004</v>
      </c>
      <c r="H572" s="465" t="s">
        <v>152</v>
      </c>
      <c r="I572" s="469" t="s">
        <v>2868</v>
      </c>
      <c r="J572" s="247" t="s">
        <v>97</v>
      </c>
      <c r="K572" s="247" t="s">
        <v>1133</v>
      </c>
      <c r="L572" s="247" t="s">
        <v>154</v>
      </c>
      <c r="M572" s="414"/>
      <c r="N572" s="414"/>
      <c r="O572" s="414"/>
    </row>
    <row r="573" spans="1:15">
      <c r="A573" s="467">
        <v>45923</v>
      </c>
      <c r="B573" s="469" t="s">
        <v>2945</v>
      </c>
      <c r="C573" s="469" t="s">
        <v>173</v>
      </c>
      <c r="D573" s="469" t="s">
        <v>117</v>
      </c>
      <c r="E573" s="470">
        <v>500</v>
      </c>
      <c r="F573" s="463">
        <f t="shared" si="10"/>
        <v>0.93720185266062228</v>
      </c>
      <c r="G573" s="464">
        <v>533.50300000000004</v>
      </c>
      <c r="H573" s="469" t="s">
        <v>583</v>
      </c>
      <c r="I573" s="469" t="s">
        <v>2970</v>
      </c>
      <c r="J573" s="247" t="s">
        <v>97</v>
      </c>
      <c r="K573" s="247" t="s">
        <v>1133</v>
      </c>
      <c r="L573" s="247" t="s">
        <v>154</v>
      </c>
      <c r="M573" s="335"/>
      <c r="N573" s="335"/>
      <c r="O573" s="335"/>
    </row>
    <row r="574" spans="1:15">
      <c r="A574" s="467">
        <v>45923</v>
      </c>
      <c r="B574" s="469" t="s">
        <v>2946</v>
      </c>
      <c r="C574" s="469" t="s">
        <v>173</v>
      </c>
      <c r="D574" s="469" t="s">
        <v>117</v>
      </c>
      <c r="E574" s="470">
        <v>500</v>
      </c>
      <c r="F574" s="463">
        <f t="shared" si="10"/>
        <v>0.93720185266062228</v>
      </c>
      <c r="G574" s="464">
        <v>533.50300000000004</v>
      </c>
      <c r="H574" s="469" t="s">
        <v>583</v>
      </c>
      <c r="I574" s="469" t="s">
        <v>2970</v>
      </c>
      <c r="J574" s="247" t="s">
        <v>97</v>
      </c>
      <c r="K574" s="247" t="s">
        <v>1133</v>
      </c>
      <c r="L574" s="247" t="s">
        <v>154</v>
      </c>
      <c r="M574" s="179"/>
      <c r="N574" s="335"/>
      <c r="O574" s="335"/>
    </row>
    <row r="575" spans="1:15">
      <c r="A575" s="471">
        <v>45923</v>
      </c>
      <c r="B575" s="247" t="s">
        <v>2949</v>
      </c>
      <c r="C575" s="469" t="s">
        <v>181</v>
      </c>
      <c r="D575" s="469" t="s">
        <v>117</v>
      </c>
      <c r="E575" s="468">
        <v>2000</v>
      </c>
      <c r="F575" s="463">
        <f t="shared" si="10"/>
        <v>3.7488074106424891</v>
      </c>
      <c r="G575" s="464">
        <v>533.50300000000004</v>
      </c>
      <c r="H575" s="469" t="s">
        <v>583</v>
      </c>
      <c r="I575" s="247" t="s">
        <v>2980</v>
      </c>
      <c r="J575" s="247" t="s">
        <v>97</v>
      </c>
      <c r="K575" s="247" t="s">
        <v>1133</v>
      </c>
      <c r="L575" s="247" t="s">
        <v>154</v>
      </c>
      <c r="M575" s="335"/>
      <c r="N575" s="335"/>
      <c r="O575" s="335"/>
    </row>
    <row r="576" spans="1:15">
      <c r="A576" s="474">
        <v>45923</v>
      </c>
      <c r="B576" s="475" t="s">
        <v>3033</v>
      </c>
      <c r="C576" s="475" t="s">
        <v>173</v>
      </c>
      <c r="D576" s="475" t="s">
        <v>120</v>
      </c>
      <c r="E576" s="475">
        <v>1000</v>
      </c>
      <c r="F576" s="463">
        <f t="shared" si="10"/>
        <v>1.8744037053212446</v>
      </c>
      <c r="G576" s="464">
        <v>533.50300000000004</v>
      </c>
      <c r="H576" s="475" t="s">
        <v>183</v>
      </c>
      <c r="I576" s="475" t="s">
        <v>3086</v>
      </c>
      <c r="J576" s="247" t="s">
        <v>97</v>
      </c>
      <c r="K576" s="247" t="s">
        <v>1133</v>
      </c>
      <c r="L576" s="247" t="s">
        <v>154</v>
      </c>
      <c r="M576" s="414"/>
      <c r="N576" s="414"/>
      <c r="O576" s="414"/>
    </row>
    <row r="577" spans="1:15">
      <c r="A577" s="474">
        <v>45923</v>
      </c>
      <c r="B577" s="475" t="s">
        <v>3034</v>
      </c>
      <c r="C577" s="475" t="s">
        <v>173</v>
      </c>
      <c r="D577" s="475" t="s">
        <v>120</v>
      </c>
      <c r="E577" s="475">
        <v>1000</v>
      </c>
      <c r="F577" s="463">
        <f t="shared" si="10"/>
        <v>1.8744037053212446</v>
      </c>
      <c r="G577" s="464">
        <v>533.50300000000004</v>
      </c>
      <c r="H577" s="475" t="s">
        <v>183</v>
      </c>
      <c r="I577" s="475" t="s">
        <v>3086</v>
      </c>
      <c r="J577" s="247" t="s">
        <v>97</v>
      </c>
      <c r="K577" s="247" t="s">
        <v>1133</v>
      </c>
      <c r="L577" s="247" t="s">
        <v>154</v>
      </c>
      <c r="M577" s="414"/>
      <c r="N577" s="414"/>
      <c r="O577" s="414"/>
    </row>
    <row r="578" spans="1:15">
      <c r="A578" s="474">
        <v>45923</v>
      </c>
      <c r="B578" s="475" t="s">
        <v>3077</v>
      </c>
      <c r="C578" s="475" t="s">
        <v>173</v>
      </c>
      <c r="D578" s="475" t="s">
        <v>120</v>
      </c>
      <c r="E578" s="475">
        <v>1000</v>
      </c>
      <c r="F578" s="463">
        <f t="shared" si="10"/>
        <v>1.8744037053212446</v>
      </c>
      <c r="G578" s="464">
        <v>533.50300000000004</v>
      </c>
      <c r="H578" s="475" t="s">
        <v>183</v>
      </c>
      <c r="I578" s="475" t="s">
        <v>3086</v>
      </c>
      <c r="J578" s="247" t="s">
        <v>97</v>
      </c>
      <c r="K578" s="247" t="s">
        <v>1133</v>
      </c>
      <c r="L578" s="247" t="s">
        <v>154</v>
      </c>
      <c r="M578" s="414"/>
      <c r="N578" s="414"/>
      <c r="O578" s="414"/>
    </row>
    <row r="579" spans="1:15">
      <c r="A579" s="476">
        <v>45923</v>
      </c>
      <c r="B579" s="469" t="s">
        <v>3170</v>
      </c>
      <c r="C579" s="469" t="s">
        <v>173</v>
      </c>
      <c r="D579" s="469" t="s">
        <v>120</v>
      </c>
      <c r="E579" s="469">
        <v>1000</v>
      </c>
      <c r="F579" s="463">
        <f t="shared" si="10"/>
        <v>1.8744037053212446</v>
      </c>
      <c r="G579" s="464">
        <v>533.50300000000004</v>
      </c>
      <c r="H579" s="469" t="s">
        <v>174</v>
      </c>
      <c r="I579" s="469" t="s">
        <v>3196</v>
      </c>
      <c r="J579" s="247" t="s">
        <v>97</v>
      </c>
      <c r="K579" s="247" t="s">
        <v>1133</v>
      </c>
      <c r="L579" s="247" t="s">
        <v>154</v>
      </c>
      <c r="M579" s="414"/>
      <c r="N579" s="414"/>
      <c r="O579" s="414"/>
    </row>
    <row r="580" spans="1:15">
      <c r="A580" s="476">
        <v>45923</v>
      </c>
      <c r="B580" s="469" t="s">
        <v>3171</v>
      </c>
      <c r="C580" s="469" t="s">
        <v>173</v>
      </c>
      <c r="D580" s="469" t="s">
        <v>120</v>
      </c>
      <c r="E580" s="469">
        <v>1000</v>
      </c>
      <c r="F580" s="463">
        <f t="shared" si="10"/>
        <v>1.8744037053212446</v>
      </c>
      <c r="G580" s="464">
        <v>533.50300000000004</v>
      </c>
      <c r="H580" s="469" t="s">
        <v>174</v>
      </c>
      <c r="I580" s="469" t="s">
        <v>3196</v>
      </c>
      <c r="J580" s="247" t="s">
        <v>97</v>
      </c>
      <c r="K580" s="247" t="s">
        <v>1133</v>
      </c>
      <c r="L580" s="247" t="s">
        <v>154</v>
      </c>
      <c r="M580" s="414"/>
      <c r="N580" s="414"/>
      <c r="O580" s="414"/>
    </row>
    <row r="581" spans="1:15">
      <c r="A581" s="476">
        <v>45923</v>
      </c>
      <c r="B581" s="469" t="s">
        <v>3172</v>
      </c>
      <c r="C581" s="469" t="s">
        <v>173</v>
      </c>
      <c r="D581" s="469" t="s">
        <v>120</v>
      </c>
      <c r="E581" s="469">
        <v>1000</v>
      </c>
      <c r="F581" s="463">
        <f t="shared" si="10"/>
        <v>1.8744037053212446</v>
      </c>
      <c r="G581" s="464">
        <v>533.50300000000004</v>
      </c>
      <c r="H581" s="469" t="s">
        <v>174</v>
      </c>
      <c r="I581" s="469" t="s">
        <v>3196</v>
      </c>
      <c r="J581" s="247" t="s">
        <v>97</v>
      </c>
      <c r="K581" s="247" t="s">
        <v>1133</v>
      </c>
      <c r="L581" s="247" t="s">
        <v>154</v>
      </c>
      <c r="M581" s="414"/>
      <c r="N581" s="414"/>
      <c r="O581" s="414"/>
    </row>
    <row r="582" spans="1:15">
      <c r="A582" s="476">
        <v>45923</v>
      </c>
      <c r="B582" s="469" t="s">
        <v>3173</v>
      </c>
      <c r="C582" s="469" t="s">
        <v>173</v>
      </c>
      <c r="D582" s="469" t="s">
        <v>120</v>
      </c>
      <c r="E582" s="469">
        <v>1000</v>
      </c>
      <c r="F582" s="463">
        <f t="shared" si="10"/>
        <v>1.8744037053212446</v>
      </c>
      <c r="G582" s="464">
        <v>533.50300000000004</v>
      </c>
      <c r="H582" s="469" t="s">
        <v>174</v>
      </c>
      <c r="I582" s="469" t="s">
        <v>3196</v>
      </c>
      <c r="J582" s="247" t="s">
        <v>97</v>
      </c>
      <c r="K582" s="247" t="s">
        <v>1133</v>
      </c>
      <c r="L582" s="247" t="s">
        <v>154</v>
      </c>
      <c r="M582" s="414"/>
      <c r="N582" s="414"/>
      <c r="O582" s="414"/>
    </row>
    <row r="583" spans="1:15">
      <c r="A583" s="476">
        <v>45923</v>
      </c>
      <c r="B583" s="469" t="s">
        <v>3174</v>
      </c>
      <c r="C583" s="469" t="s">
        <v>173</v>
      </c>
      <c r="D583" s="469" t="s">
        <v>120</v>
      </c>
      <c r="E583" s="469">
        <v>1000</v>
      </c>
      <c r="F583" s="463">
        <f t="shared" si="10"/>
        <v>1.8744037053212446</v>
      </c>
      <c r="G583" s="464">
        <v>533.50300000000004</v>
      </c>
      <c r="H583" s="469" t="s">
        <v>174</v>
      </c>
      <c r="I583" s="469" t="s">
        <v>3196</v>
      </c>
      <c r="J583" s="247" t="s">
        <v>97</v>
      </c>
      <c r="K583" s="247" t="s">
        <v>1133</v>
      </c>
      <c r="L583" s="247" t="s">
        <v>154</v>
      </c>
      <c r="M583" s="414"/>
      <c r="N583" s="414"/>
      <c r="O583" s="414"/>
    </row>
    <row r="584" spans="1:15">
      <c r="A584" s="476">
        <v>45923</v>
      </c>
      <c r="B584" s="469" t="s">
        <v>3175</v>
      </c>
      <c r="C584" s="469" t="s">
        <v>173</v>
      </c>
      <c r="D584" s="469" t="s">
        <v>120</v>
      </c>
      <c r="E584" s="469">
        <v>1000</v>
      </c>
      <c r="F584" s="463">
        <f t="shared" si="10"/>
        <v>1.8744037053212446</v>
      </c>
      <c r="G584" s="464">
        <v>533.50300000000004</v>
      </c>
      <c r="H584" s="469" t="s">
        <v>174</v>
      </c>
      <c r="I584" s="469" t="s">
        <v>3196</v>
      </c>
      <c r="J584" s="247" t="s">
        <v>97</v>
      </c>
      <c r="K584" s="247" t="s">
        <v>1133</v>
      </c>
      <c r="L584" s="247" t="s">
        <v>154</v>
      </c>
      <c r="M584" s="414"/>
      <c r="N584" s="414"/>
      <c r="O584" s="414"/>
    </row>
    <row r="585" spans="1:15" s="333" customFormat="1">
      <c r="A585" s="471">
        <v>45923</v>
      </c>
      <c r="B585" s="247" t="s">
        <v>3176</v>
      </c>
      <c r="C585" s="247" t="s">
        <v>368</v>
      </c>
      <c r="D585" s="247" t="s">
        <v>120</v>
      </c>
      <c r="E585" s="247">
        <v>11500</v>
      </c>
      <c r="F585" s="463">
        <f t="shared" si="10"/>
        <v>21.555642611194312</v>
      </c>
      <c r="G585" s="464">
        <v>533.50300000000004</v>
      </c>
      <c r="H585" s="247" t="s">
        <v>174</v>
      </c>
      <c r="I585" s="247" t="s">
        <v>3201</v>
      </c>
      <c r="J585" s="247" t="s">
        <v>97</v>
      </c>
      <c r="K585" s="247" t="s">
        <v>1133</v>
      </c>
      <c r="L585" s="247" t="s">
        <v>154</v>
      </c>
      <c r="M585" s="335"/>
      <c r="N585" s="335"/>
      <c r="O585" s="335"/>
    </row>
    <row r="586" spans="1:15">
      <c r="A586" s="476">
        <v>45923</v>
      </c>
      <c r="B586" s="469" t="s">
        <v>3253</v>
      </c>
      <c r="C586" s="469" t="s">
        <v>173</v>
      </c>
      <c r="D586" s="469" t="s">
        <v>120</v>
      </c>
      <c r="E586" s="469">
        <v>2000</v>
      </c>
      <c r="F586" s="463">
        <f t="shared" si="10"/>
        <v>3.7488074106424891</v>
      </c>
      <c r="G586" s="464">
        <v>533.50300000000004</v>
      </c>
      <c r="H586" s="469" t="s">
        <v>316</v>
      </c>
      <c r="I586" s="469" t="s">
        <v>3260</v>
      </c>
      <c r="J586" s="247" t="s">
        <v>97</v>
      </c>
      <c r="K586" s="247" t="s">
        <v>1133</v>
      </c>
      <c r="L586" s="247" t="s">
        <v>154</v>
      </c>
      <c r="M586" s="335"/>
      <c r="N586" s="335"/>
      <c r="O586" s="335"/>
    </row>
    <row r="587" spans="1:15">
      <c r="A587" s="476">
        <v>45923</v>
      </c>
      <c r="B587" s="469" t="s">
        <v>3254</v>
      </c>
      <c r="C587" s="469" t="s">
        <v>173</v>
      </c>
      <c r="D587" s="469" t="s">
        <v>120</v>
      </c>
      <c r="E587" s="469">
        <v>1500</v>
      </c>
      <c r="F587" s="463">
        <f t="shared" si="10"/>
        <v>2.8116055579818666</v>
      </c>
      <c r="G587" s="464">
        <v>533.50300000000004</v>
      </c>
      <c r="H587" s="469" t="s">
        <v>316</v>
      </c>
      <c r="I587" s="469" t="s">
        <v>3260</v>
      </c>
      <c r="J587" s="247" t="s">
        <v>97</v>
      </c>
      <c r="K587" s="247" t="s">
        <v>1133</v>
      </c>
      <c r="L587" s="247" t="s">
        <v>154</v>
      </c>
      <c r="M587" s="335"/>
      <c r="N587" s="335"/>
      <c r="O587" s="335"/>
    </row>
    <row r="588" spans="1:15">
      <c r="A588" s="476">
        <v>45923</v>
      </c>
      <c r="B588" s="469" t="s">
        <v>3255</v>
      </c>
      <c r="C588" s="469" t="s">
        <v>173</v>
      </c>
      <c r="D588" s="469" t="s">
        <v>120</v>
      </c>
      <c r="E588" s="469">
        <v>1000</v>
      </c>
      <c r="F588" s="463">
        <f t="shared" si="10"/>
        <v>1.8744037053212446</v>
      </c>
      <c r="G588" s="464">
        <v>533.50300000000004</v>
      </c>
      <c r="H588" s="469" t="s">
        <v>316</v>
      </c>
      <c r="I588" s="469" t="s">
        <v>3260</v>
      </c>
      <c r="J588" s="247" t="s">
        <v>97</v>
      </c>
      <c r="K588" s="247" t="s">
        <v>1133</v>
      </c>
      <c r="L588" s="247" t="s">
        <v>154</v>
      </c>
      <c r="M588" s="335"/>
      <c r="N588" s="335"/>
      <c r="O588" s="335"/>
    </row>
    <row r="589" spans="1:15">
      <c r="A589" s="476">
        <v>45923</v>
      </c>
      <c r="B589" s="469" t="s">
        <v>3256</v>
      </c>
      <c r="C589" s="469" t="s">
        <v>173</v>
      </c>
      <c r="D589" s="469" t="s">
        <v>120</v>
      </c>
      <c r="E589" s="469">
        <v>2500</v>
      </c>
      <c r="F589" s="463">
        <f t="shared" si="10"/>
        <v>4.6860092633031112</v>
      </c>
      <c r="G589" s="464">
        <v>533.50300000000004</v>
      </c>
      <c r="H589" s="469" t="s">
        <v>316</v>
      </c>
      <c r="I589" s="469" t="s">
        <v>3260</v>
      </c>
      <c r="J589" s="247" t="s">
        <v>97</v>
      </c>
      <c r="K589" s="247" t="s">
        <v>1133</v>
      </c>
      <c r="L589" s="247" t="s">
        <v>154</v>
      </c>
      <c r="M589" s="335"/>
      <c r="N589" s="335"/>
      <c r="O589" s="335"/>
    </row>
    <row r="590" spans="1:15">
      <c r="A590" s="476">
        <v>45923</v>
      </c>
      <c r="B590" s="469" t="s">
        <v>3294</v>
      </c>
      <c r="C590" s="469" t="s">
        <v>173</v>
      </c>
      <c r="D590" s="469" t="s">
        <v>120</v>
      </c>
      <c r="E590" s="472">
        <v>2000</v>
      </c>
      <c r="F590" s="463">
        <f t="shared" si="10"/>
        <v>3.7488074106424891</v>
      </c>
      <c r="G590" s="464">
        <v>533.50300000000004</v>
      </c>
      <c r="H590" s="469" t="s">
        <v>322</v>
      </c>
      <c r="I590" s="469" t="s">
        <v>3301</v>
      </c>
      <c r="J590" s="247" t="s">
        <v>97</v>
      </c>
      <c r="K590" s="247" t="s">
        <v>1133</v>
      </c>
      <c r="L590" s="247" t="s">
        <v>154</v>
      </c>
      <c r="M590" s="335"/>
      <c r="N590" s="335"/>
      <c r="O590" s="335"/>
    </row>
    <row r="591" spans="1:15">
      <c r="A591" s="476">
        <v>45923</v>
      </c>
      <c r="B591" s="469" t="s">
        <v>3295</v>
      </c>
      <c r="C591" s="469" t="s">
        <v>173</v>
      </c>
      <c r="D591" s="469" t="s">
        <v>120</v>
      </c>
      <c r="E591" s="472">
        <v>1000</v>
      </c>
      <c r="F591" s="463">
        <f t="shared" si="10"/>
        <v>1.8744037053212446</v>
      </c>
      <c r="G591" s="464">
        <v>533.50300000000004</v>
      </c>
      <c r="H591" s="469" t="s">
        <v>322</v>
      </c>
      <c r="I591" s="469" t="s">
        <v>3301</v>
      </c>
      <c r="J591" s="247" t="s">
        <v>97</v>
      </c>
      <c r="K591" s="247" t="s">
        <v>1133</v>
      </c>
      <c r="L591" s="247" t="s">
        <v>154</v>
      </c>
      <c r="M591" s="335"/>
      <c r="N591" s="335"/>
      <c r="O591" s="335"/>
    </row>
    <row r="592" spans="1:15">
      <c r="A592" s="476">
        <v>45923</v>
      </c>
      <c r="B592" s="469" t="s">
        <v>3296</v>
      </c>
      <c r="C592" s="469" t="s">
        <v>173</v>
      </c>
      <c r="D592" s="469" t="s">
        <v>120</v>
      </c>
      <c r="E592" s="472">
        <v>1000</v>
      </c>
      <c r="F592" s="463">
        <f t="shared" si="10"/>
        <v>1.8744037053212446</v>
      </c>
      <c r="G592" s="464">
        <v>533.50300000000004</v>
      </c>
      <c r="H592" s="469" t="s">
        <v>322</v>
      </c>
      <c r="I592" s="469" t="s">
        <v>3301</v>
      </c>
      <c r="J592" s="247" t="s">
        <v>97</v>
      </c>
      <c r="K592" s="247" t="s">
        <v>1133</v>
      </c>
      <c r="L592" s="247" t="s">
        <v>154</v>
      </c>
      <c r="M592" s="335"/>
      <c r="N592" s="335"/>
      <c r="O592" s="335"/>
    </row>
    <row r="593" spans="1:15">
      <c r="A593" s="471">
        <v>45923</v>
      </c>
      <c r="B593" s="247" t="s">
        <v>2365</v>
      </c>
      <c r="C593" s="469" t="s">
        <v>171</v>
      </c>
      <c r="D593" s="469" t="s">
        <v>117</v>
      </c>
      <c r="E593" s="468">
        <v>25000</v>
      </c>
      <c r="F593" s="463">
        <f t="shared" si="10"/>
        <v>46.860092633031115</v>
      </c>
      <c r="G593" s="464">
        <v>533.50300000000004</v>
      </c>
      <c r="H593" s="469" t="s">
        <v>189</v>
      </c>
      <c r="I593" s="247" t="s">
        <v>3331</v>
      </c>
      <c r="J593" s="247" t="s">
        <v>97</v>
      </c>
      <c r="K593" s="247" t="s">
        <v>1133</v>
      </c>
      <c r="L593" s="247" t="s">
        <v>154</v>
      </c>
      <c r="M593" s="335"/>
      <c r="N593" s="127"/>
      <c r="O593" s="127"/>
    </row>
    <row r="594" spans="1:15">
      <c r="A594" s="476">
        <v>45924</v>
      </c>
      <c r="B594" s="469" t="s">
        <v>2100</v>
      </c>
      <c r="C594" s="462" t="s">
        <v>173</v>
      </c>
      <c r="D594" s="462" t="s">
        <v>118</v>
      </c>
      <c r="E594" s="359">
        <v>1000</v>
      </c>
      <c r="F594" s="463">
        <f t="shared" si="10"/>
        <v>1.8744037053212446</v>
      </c>
      <c r="G594" s="464">
        <v>533.50300000000004</v>
      </c>
      <c r="H594" s="465" t="s">
        <v>152</v>
      </c>
      <c r="I594" s="469" t="s">
        <v>2868</v>
      </c>
      <c r="J594" s="247" t="s">
        <v>97</v>
      </c>
      <c r="K594" s="247" t="s">
        <v>1133</v>
      </c>
      <c r="L594" s="247" t="s">
        <v>154</v>
      </c>
      <c r="M594" s="414"/>
      <c r="N594" s="414"/>
      <c r="O594" s="414"/>
    </row>
    <row r="595" spans="1:15">
      <c r="A595" s="476">
        <v>45924</v>
      </c>
      <c r="B595" s="469" t="s">
        <v>2101</v>
      </c>
      <c r="C595" s="462" t="s">
        <v>173</v>
      </c>
      <c r="D595" s="462" t="s">
        <v>118</v>
      </c>
      <c r="E595" s="359">
        <v>1000</v>
      </c>
      <c r="F595" s="463">
        <f t="shared" si="10"/>
        <v>1.8744037053212446</v>
      </c>
      <c r="G595" s="464">
        <v>533.50300000000004</v>
      </c>
      <c r="H595" s="465" t="s">
        <v>152</v>
      </c>
      <c r="I595" s="469" t="s">
        <v>2868</v>
      </c>
      <c r="J595" s="247" t="s">
        <v>97</v>
      </c>
      <c r="K595" s="247" t="s">
        <v>1133</v>
      </c>
      <c r="L595" s="247" t="s">
        <v>154</v>
      </c>
      <c r="M595" s="414"/>
      <c r="N595" s="414"/>
      <c r="O595" s="414"/>
    </row>
    <row r="596" spans="1:15">
      <c r="A596" s="471">
        <v>45924</v>
      </c>
      <c r="B596" s="469" t="s">
        <v>2952</v>
      </c>
      <c r="C596" s="247" t="s">
        <v>171</v>
      </c>
      <c r="D596" s="469" t="s">
        <v>117</v>
      </c>
      <c r="E596" s="468">
        <v>19000</v>
      </c>
      <c r="F596" s="463">
        <f t="shared" si="10"/>
        <v>35.613670401103647</v>
      </c>
      <c r="G596" s="464">
        <v>533.50300000000004</v>
      </c>
      <c r="H596" s="469" t="s">
        <v>583</v>
      </c>
      <c r="I596" s="247" t="s">
        <v>2981</v>
      </c>
      <c r="J596" s="247" t="s">
        <v>97</v>
      </c>
      <c r="K596" s="247" t="s">
        <v>1133</v>
      </c>
      <c r="L596" s="247" t="s">
        <v>154</v>
      </c>
      <c r="M596" s="335"/>
      <c r="N596" s="335"/>
      <c r="O596" s="335"/>
    </row>
    <row r="597" spans="1:15">
      <c r="A597" s="476">
        <v>45924</v>
      </c>
      <c r="B597" s="469" t="s">
        <v>3138</v>
      </c>
      <c r="C597" s="469" t="s">
        <v>173</v>
      </c>
      <c r="D597" s="469" t="s">
        <v>120</v>
      </c>
      <c r="E597" s="469">
        <v>1000</v>
      </c>
      <c r="F597" s="463">
        <f t="shared" si="10"/>
        <v>1.8744037053212446</v>
      </c>
      <c r="G597" s="464">
        <v>533.50300000000004</v>
      </c>
      <c r="H597" s="469" t="s">
        <v>174</v>
      </c>
      <c r="I597" s="469" t="s">
        <v>3196</v>
      </c>
      <c r="J597" s="247" t="s">
        <v>97</v>
      </c>
      <c r="K597" s="247" t="s">
        <v>1133</v>
      </c>
      <c r="L597" s="247" t="s">
        <v>154</v>
      </c>
      <c r="M597" s="414"/>
      <c r="N597" s="414"/>
      <c r="O597" s="414"/>
    </row>
    <row r="598" spans="1:15">
      <c r="A598" s="476">
        <v>45924</v>
      </c>
      <c r="B598" s="469" t="s">
        <v>3139</v>
      </c>
      <c r="C598" s="469" t="s">
        <v>173</v>
      </c>
      <c r="D598" s="469" t="s">
        <v>120</v>
      </c>
      <c r="E598" s="469">
        <v>1000</v>
      </c>
      <c r="F598" s="463">
        <f t="shared" si="10"/>
        <v>1.8744037053212446</v>
      </c>
      <c r="G598" s="464">
        <v>533.50300000000004</v>
      </c>
      <c r="H598" s="469" t="s">
        <v>174</v>
      </c>
      <c r="I598" s="469" t="s">
        <v>3196</v>
      </c>
      <c r="J598" s="247" t="s">
        <v>97</v>
      </c>
      <c r="K598" s="247" t="s">
        <v>1133</v>
      </c>
      <c r="L598" s="247" t="s">
        <v>154</v>
      </c>
      <c r="M598" s="414"/>
      <c r="N598" s="414"/>
      <c r="O598" s="414"/>
    </row>
    <row r="599" spans="1:15">
      <c r="A599" s="476">
        <v>45925</v>
      </c>
      <c r="B599" s="469" t="s">
        <v>2100</v>
      </c>
      <c r="C599" s="462" t="s">
        <v>173</v>
      </c>
      <c r="D599" s="462" t="s">
        <v>118</v>
      </c>
      <c r="E599" s="359">
        <v>1000</v>
      </c>
      <c r="F599" s="463">
        <f t="shared" si="10"/>
        <v>1.8744037053212446</v>
      </c>
      <c r="G599" s="464">
        <v>533.50300000000004</v>
      </c>
      <c r="H599" s="465" t="s">
        <v>152</v>
      </c>
      <c r="I599" s="469" t="s">
        <v>2868</v>
      </c>
      <c r="J599" s="247" t="s">
        <v>97</v>
      </c>
      <c r="K599" s="247" t="s">
        <v>1133</v>
      </c>
      <c r="L599" s="247" t="s">
        <v>154</v>
      </c>
      <c r="M599" s="414"/>
      <c r="N599" s="414"/>
      <c r="O599" s="414"/>
    </row>
    <row r="600" spans="1:15">
      <c r="A600" s="476">
        <v>45925</v>
      </c>
      <c r="B600" s="469" t="s">
        <v>2101</v>
      </c>
      <c r="C600" s="462" t="s">
        <v>173</v>
      </c>
      <c r="D600" s="462" t="s">
        <v>118</v>
      </c>
      <c r="E600" s="359">
        <v>1000</v>
      </c>
      <c r="F600" s="463">
        <f t="shared" si="10"/>
        <v>1.8744037053212446</v>
      </c>
      <c r="G600" s="464">
        <v>533.50300000000004</v>
      </c>
      <c r="H600" s="465" t="s">
        <v>152</v>
      </c>
      <c r="I600" s="469" t="s">
        <v>2868</v>
      </c>
      <c r="J600" s="247" t="s">
        <v>97</v>
      </c>
      <c r="K600" s="247" t="s">
        <v>1133</v>
      </c>
      <c r="L600" s="247" t="s">
        <v>154</v>
      </c>
      <c r="M600" s="414"/>
      <c r="N600" s="414"/>
      <c r="O600" s="414"/>
    </row>
    <row r="601" spans="1:15">
      <c r="A601" s="476">
        <v>45925</v>
      </c>
      <c r="B601" s="469" t="s">
        <v>3138</v>
      </c>
      <c r="C601" s="469" t="s">
        <v>173</v>
      </c>
      <c r="D601" s="469" t="s">
        <v>120</v>
      </c>
      <c r="E601" s="469">
        <v>1000</v>
      </c>
      <c r="F601" s="463">
        <f t="shared" si="10"/>
        <v>1.8744037053212446</v>
      </c>
      <c r="G601" s="464">
        <v>533.50300000000004</v>
      </c>
      <c r="H601" s="469" t="s">
        <v>174</v>
      </c>
      <c r="I601" s="469" t="s">
        <v>3196</v>
      </c>
      <c r="J601" s="247" t="s">
        <v>97</v>
      </c>
      <c r="K601" s="247" t="s">
        <v>1133</v>
      </c>
      <c r="L601" s="247" t="s">
        <v>154</v>
      </c>
      <c r="M601" s="414"/>
      <c r="N601" s="414"/>
      <c r="O601" s="414"/>
    </row>
    <row r="602" spans="1:15">
      <c r="A602" s="476">
        <v>45925</v>
      </c>
      <c r="B602" s="469" t="s">
        <v>3139</v>
      </c>
      <c r="C602" s="469" t="s">
        <v>173</v>
      </c>
      <c r="D602" s="469" t="s">
        <v>120</v>
      </c>
      <c r="E602" s="469">
        <v>1000</v>
      </c>
      <c r="F602" s="463">
        <f t="shared" si="10"/>
        <v>1.8744037053212446</v>
      </c>
      <c r="G602" s="464">
        <v>533.50300000000004</v>
      </c>
      <c r="H602" s="469" t="s">
        <v>174</v>
      </c>
      <c r="I602" s="469" t="s">
        <v>3196</v>
      </c>
      <c r="J602" s="247" t="s">
        <v>97</v>
      </c>
      <c r="K602" s="247" t="s">
        <v>1133</v>
      </c>
      <c r="L602" s="247" t="s">
        <v>154</v>
      </c>
      <c r="M602" s="414"/>
      <c r="N602" s="414"/>
      <c r="O602" s="414"/>
    </row>
    <row r="603" spans="1:15">
      <c r="A603" s="476">
        <v>45925</v>
      </c>
      <c r="B603" s="469" t="s">
        <v>3321</v>
      </c>
      <c r="C603" s="469" t="s">
        <v>173</v>
      </c>
      <c r="D603" s="469" t="s">
        <v>116</v>
      </c>
      <c r="E603" s="469">
        <v>1000</v>
      </c>
      <c r="F603" s="463">
        <f t="shared" si="10"/>
        <v>1.8744037053212446</v>
      </c>
      <c r="G603" s="464">
        <v>533.50300000000004</v>
      </c>
      <c r="H603" s="469" t="s">
        <v>186</v>
      </c>
      <c r="I603" s="469" t="s">
        <v>3504</v>
      </c>
      <c r="J603" s="247" t="s">
        <v>97</v>
      </c>
      <c r="K603" s="247" t="s">
        <v>1133</v>
      </c>
      <c r="L603" s="247" t="s">
        <v>154</v>
      </c>
      <c r="M603" s="414"/>
      <c r="N603" s="76"/>
      <c r="O603" s="76"/>
    </row>
    <row r="604" spans="1:15">
      <c r="A604" s="476">
        <v>45925</v>
      </c>
      <c r="B604" s="469" t="s">
        <v>3310</v>
      </c>
      <c r="C604" s="469" t="s">
        <v>173</v>
      </c>
      <c r="D604" s="469" t="s">
        <v>116</v>
      </c>
      <c r="E604" s="469">
        <v>1000</v>
      </c>
      <c r="F604" s="463">
        <f t="shared" si="10"/>
        <v>1.8744037053212446</v>
      </c>
      <c r="G604" s="464">
        <v>533.50300000000004</v>
      </c>
      <c r="H604" s="469" t="s">
        <v>186</v>
      </c>
      <c r="I604" s="469" t="s">
        <v>3504</v>
      </c>
      <c r="J604" s="247" t="s">
        <v>97</v>
      </c>
      <c r="K604" s="247" t="s">
        <v>1133</v>
      </c>
      <c r="L604" s="247" t="s">
        <v>154</v>
      </c>
      <c r="M604" s="414"/>
      <c r="N604" s="76"/>
      <c r="O604" s="76"/>
    </row>
    <row r="605" spans="1:15">
      <c r="A605" s="476">
        <v>45926</v>
      </c>
      <c r="B605" s="469" t="s">
        <v>2100</v>
      </c>
      <c r="C605" s="462" t="s">
        <v>173</v>
      </c>
      <c r="D605" s="462" t="s">
        <v>118</v>
      </c>
      <c r="E605" s="359">
        <v>1000</v>
      </c>
      <c r="F605" s="463">
        <f t="shared" si="10"/>
        <v>1.8744037053212446</v>
      </c>
      <c r="G605" s="464">
        <v>533.50300000000004</v>
      </c>
      <c r="H605" s="465" t="s">
        <v>152</v>
      </c>
      <c r="I605" s="469" t="s">
        <v>2868</v>
      </c>
      <c r="J605" s="247" t="s">
        <v>97</v>
      </c>
      <c r="K605" s="247" t="s">
        <v>1133</v>
      </c>
      <c r="L605" s="247" t="s">
        <v>154</v>
      </c>
      <c r="M605" s="414"/>
      <c r="N605" s="414"/>
      <c r="O605" s="414"/>
    </row>
    <row r="606" spans="1:15">
      <c r="A606" s="476">
        <v>45926</v>
      </c>
      <c r="B606" s="469" t="s">
        <v>2101</v>
      </c>
      <c r="C606" s="462" t="s">
        <v>173</v>
      </c>
      <c r="D606" s="462" t="s">
        <v>118</v>
      </c>
      <c r="E606" s="359">
        <v>1000</v>
      </c>
      <c r="F606" s="463">
        <f t="shared" ref="F606:F632" si="11">E606/G606</f>
        <v>1.8744037053212446</v>
      </c>
      <c r="G606" s="464">
        <v>533.50300000000004</v>
      </c>
      <c r="H606" s="465" t="s">
        <v>152</v>
      </c>
      <c r="I606" s="469" t="s">
        <v>2868</v>
      </c>
      <c r="J606" s="247" t="s">
        <v>97</v>
      </c>
      <c r="K606" s="247" t="s">
        <v>1133</v>
      </c>
      <c r="L606" s="247" t="s">
        <v>154</v>
      </c>
      <c r="M606" s="414"/>
      <c r="N606" s="414"/>
      <c r="O606" s="414"/>
    </row>
    <row r="607" spans="1:15">
      <c r="A607" s="467">
        <v>45926</v>
      </c>
      <c r="B607" s="469" t="s">
        <v>2950</v>
      </c>
      <c r="C607" s="469" t="s">
        <v>173</v>
      </c>
      <c r="D607" s="469" t="s">
        <v>117</v>
      </c>
      <c r="E607" s="470">
        <v>1000</v>
      </c>
      <c r="F607" s="463">
        <f t="shared" si="11"/>
        <v>1.8744037053212446</v>
      </c>
      <c r="G607" s="464">
        <v>533.50300000000004</v>
      </c>
      <c r="H607" s="469" t="s">
        <v>583</v>
      </c>
      <c r="I607" s="469" t="s">
        <v>2970</v>
      </c>
      <c r="J607" s="247" t="s">
        <v>97</v>
      </c>
      <c r="K607" s="247" t="s">
        <v>1133</v>
      </c>
      <c r="L607" s="247" t="s">
        <v>154</v>
      </c>
      <c r="M607" s="335"/>
      <c r="N607" s="335"/>
      <c r="O607" s="335"/>
    </row>
    <row r="608" spans="1:15">
      <c r="A608" s="467">
        <v>45926</v>
      </c>
      <c r="B608" s="469" t="s">
        <v>2951</v>
      </c>
      <c r="C608" s="469" t="s">
        <v>173</v>
      </c>
      <c r="D608" s="469" t="s">
        <v>117</v>
      </c>
      <c r="E608" s="470">
        <v>1000</v>
      </c>
      <c r="F608" s="463">
        <f t="shared" si="11"/>
        <v>1.8744037053212446</v>
      </c>
      <c r="G608" s="464">
        <v>533.50300000000004</v>
      </c>
      <c r="H608" s="469" t="s">
        <v>583</v>
      </c>
      <c r="I608" s="469" t="s">
        <v>2970</v>
      </c>
      <c r="J608" s="247" t="s">
        <v>97</v>
      </c>
      <c r="K608" s="247" t="s">
        <v>1133</v>
      </c>
      <c r="L608" s="247" t="s">
        <v>154</v>
      </c>
      <c r="M608" s="335"/>
      <c r="N608" s="335"/>
      <c r="O608" s="335"/>
    </row>
    <row r="609" spans="1:15">
      <c r="A609" s="471">
        <v>45926</v>
      </c>
      <c r="B609" s="469" t="s">
        <v>2953</v>
      </c>
      <c r="C609" s="469" t="s">
        <v>125</v>
      </c>
      <c r="D609" s="469" t="s">
        <v>117</v>
      </c>
      <c r="E609" s="468">
        <v>6000</v>
      </c>
      <c r="F609" s="463">
        <f t="shared" si="11"/>
        <v>11.246422231927466</v>
      </c>
      <c r="G609" s="464">
        <v>533.50300000000004</v>
      </c>
      <c r="H609" s="469" t="s">
        <v>583</v>
      </c>
      <c r="I609" s="247" t="s">
        <v>2982</v>
      </c>
      <c r="J609" s="247" t="s">
        <v>97</v>
      </c>
      <c r="K609" s="247" t="s">
        <v>1133</v>
      </c>
      <c r="L609" s="247" t="s">
        <v>154</v>
      </c>
      <c r="M609" s="335"/>
      <c r="N609" s="335"/>
      <c r="O609" s="335"/>
    </row>
    <row r="610" spans="1:15">
      <c r="A610" s="471">
        <v>45926</v>
      </c>
      <c r="B610" s="247" t="s">
        <v>2949</v>
      </c>
      <c r="C610" s="469" t="s">
        <v>181</v>
      </c>
      <c r="D610" s="469" t="s">
        <v>117</v>
      </c>
      <c r="E610" s="468">
        <v>2800</v>
      </c>
      <c r="F610" s="463">
        <f t="shared" si="11"/>
        <v>5.248330374899485</v>
      </c>
      <c r="G610" s="464">
        <v>533.50300000000004</v>
      </c>
      <c r="H610" s="469" t="s">
        <v>583</v>
      </c>
      <c r="I610" s="247" t="s">
        <v>2983</v>
      </c>
      <c r="J610" s="247" t="s">
        <v>97</v>
      </c>
      <c r="K610" s="247" t="s">
        <v>1133</v>
      </c>
      <c r="L610" s="247" t="s">
        <v>154</v>
      </c>
      <c r="M610" s="414"/>
      <c r="N610" s="414"/>
      <c r="O610" s="414"/>
    </row>
    <row r="611" spans="1:15">
      <c r="A611" s="476">
        <v>45926</v>
      </c>
      <c r="B611" s="469" t="s">
        <v>3138</v>
      </c>
      <c r="C611" s="469" t="s">
        <v>173</v>
      </c>
      <c r="D611" s="469" t="s">
        <v>120</v>
      </c>
      <c r="E611" s="469">
        <v>1000</v>
      </c>
      <c r="F611" s="463">
        <f t="shared" si="11"/>
        <v>1.8744037053212446</v>
      </c>
      <c r="G611" s="464">
        <v>533.50300000000004</v>
      </c>
      <c r="H611" s="469" t="s">
        <v>174</v>
      </c>
      <c r="I611" s="469" t="s">
        <v>3196</v>
      </c>
      <c r="J611" s="247" t="s">
        <v>97</v>
      </c>
      <c r="K611" s="247" t="s">
        <v>1133</v>
      </c>
      <c r="L611" s="247" t="s">
        <v>154</v>
      </c>
      <c r="M611" s="414"/>
      <c r="N611" s="414"/>
      <c r="O611" s="414"/>
    </row>
    <row r="612" spans="1:15">
      <c r="A612" s="476">
        <v>45926</v>
      </c>
      <c r="B612" s="469" t="s">
        <v>3139</v>
      </c>
      <c r="C612" s="469" t="s">
        <v>173</v>
      </c>
      <c r="D612" s="469" t="s">
        <v>120</v>
      </c>
      <c r="E612" s="469">
        <v>1000</v>
      </c>
      <c r="F612" s="463">
        <f t="shared" si="11"/>
        <v>1.8744037053212446</v>
      </c>
      <c r="G612" s="464">
        <v>533.50300000000004</v>
      </c>
      <c r="H612" s="469" t="s">
        <v>174</v>
      </c>
      <c r="I612" s="469" t="s">
        <v>3196</v>
      </c>
      <c r="J612" s="247" t="s">
        <v>97</v>
      </c>
      <c r="K612" s="247" t="s">
        <v>1133</v>
      </c>
      <c r="L612" s="247" t="s">
        <v>154</v>
      </c>
      <c r="M612" s="414"/>
      <c r="N612" s="414"/>
      <c r="O612" s="414"/>
    </row>
    <row r="613" spans="1:15">
      <c r="A613" s="476">
        <v>45926</v>
      </c>
      <c r="B613" s="469" t="s">
        <v>3495</v>
      </c>
      <c r="C613" s="469" t="s">
        <v>173</v>
      </c>
      <c r="D613" s="469" t="s">
        <v>116</v>
      </c>
      <c r="E613" s="469">
        <v>1500</v>
      </c>
      <c r="F613" s="463">
        <f t="shared" si="11"/>
        <v>2.8116055579818666</v>
      </c>
      <c r="G613" s="464">
        <v>533.50300000000004</v>
      </c>
      <c r="H613" s="469" t="s">
        <v>186</v>
      </c>
      <c r="I613" s="469" t="s">
        <v>3504</v>
      </c>
      <c r="J613" s="247" t="s">
        <v>97</v>
      </c>
      <c r="K613" s="247" t="s">
        <v>1133</v>
      </c>
      <c r="L613" s="247" t="s">
        <v>154</v>
      </c>
      <c r="M613" s="414"/>
      <c r="N613" s="76"/>
      <c r="O613" s="76"/>
    </row>
    <row r="614" spans="1:15">
      <c r="A614" s="476">
        <v>45926</v>
      </c>
      <c r="B614" s="469" t="s">
        <v>3499</v>
      </c>
      <c r="C614" s="469" t="s">
        <v>173</v>
      </c>
      <c r="D614" s="469" t="s">
        <v>116</v>
      </c>
      <c r="E614" s="469">
        <v>3500</v>
      </c>
      <c r="F614" s="463">
        <f t="shared" si="11"/>
        <v>6.5604129686243562</v>
      </c>
      <c r="G614" s="464">
        <v>533.50300000000004</v>
      </c>
      <c r="H614" s="469" t="s">
        <v>186</v>
      </c>
      <c r="I614" s="469" t="s">
        <v>3504</v>
      </c>
      <c r="J614" s="247" t="s">
        <v>97</v>
      </c>
      <c r="K614" s="247" t="s">
        <v>1133</v>
      </c>
      <c r="L614" s="247" t="s">
        <v>154</v>
      </c>
      <c r="M614" s="414"/>
      <c r="N614" s="76"/>
      <c r="O614" s="76"/>
    </row>
    <row r="615" spans="1:15">
      <c r="A615" s="476">
        <v>45927</v>
      </c>
      <c r="B615" s="469" t="s">
        <v>2100</v>
      </c>
      <c r="C615" s="462" t="s">
        <v>173</v>
      </c>
      <c r="D615" s="462" t="s">
        <v>118</v>
      </c>
      <c r="E615" s="359">
        <v>1000</v>
      </c>
      <c r="F615" s="463">
        <f t="shared" si="11"/>
        <v>1.8744037053212446</v>
      </c>
      <c r="G615" s="464">
        <v>533.50300000000004</v>
      </c>
      <c r="H615" s="465" t="s">
        <v>152</v>
      </c>
      <c r="I615" s="469" t="s">
        <v>2868</v>
      </c>
      <c r="J615" s="247" t="s">
        <v>97</v>
      </c>
      <c r="K615" s="247" t="s">
        <v>1133</v>
      </c>
      <c r="L615" s="247" t="s">
        <v>154</v>
      </c>
      <c r="M615" s="335"/>
      <c r="N615" s="335"/>
      <c r="O615" s="335"/>
    </row>
    <row r="616" spans="1:15">
      <c r="A616" s="476">
        <v>45927</v>
      </c>
      <c r="B616" s="469" t="s">
        <v>2862</v>
      </c>
      <c r="C616" s="462" t="s">
        <v>173</v>
      </c>
      <c r="D616" s="462" t="s">
        <v>118</v>
      </c>
      <c r="E616" s="359">
        <v>1000</v>
      </c>
      <c r="F616" s="463">
        <f t="shared" si="11"/>
        <v>1.8744037053212446</v>
      </c>
      <c r="G616" s="464">
        <v>533.50300000000004</v>
      </c>
      <c r="H616" s="465" t="s">
        <v>152</v>
      </c>
      <c r="I616" s="469" t="s">
        <v>2868</v>
      </c>
      <c r="J616" s="247" t="s">
        <v>97</v>
      </c>
      <c r="K616" s="247" t="s">
        <v>1133</v>
      </c>
      <c r="L616" s="247" t="s">
        <v>154</v>
      </c>
      <c r="M616" s="335"/>
      <c r="N616" s="335"/>
      <c r="O616" s="335"/>
    </row>
    <row r="617" spans="1:15">
      <c r="A617" s="474">
        <v>45927</v>
      </c>
      <c r="B617" s="216" t="s">
        <v>2896</v>
      </c>
      <c r="C617" s="216" t="s">
        <v>173</v>
      </c>
      <c r="D617" s="337" t="s">
        <v>116</v>
      </c>
      <c r="E617" s="475">
        <v>1500</v>
      </c>
      <c r="F617" s="463">
        <f t="shared" si="11"/>
        <v>2.8116055579818666</v>
      </c>
      <c r="G617" s="464">
        <v>533.50300000000004</v>
      </c>
      <c r="H617" s="339" t="s">
        <v>1508</v>
      </c>
      <c r="I617" s="216" t="s">
        <v>2911</v>
      </c>
      <c r="J617" s="247" t="s">
        <v>97</v>
      </c>
      <c r="K617" s="247" t="s">
        <v>1133</v>
      </c>
      <c r="L617" s="247" t="s">
        <v>154</v>
      </c>
      <c r="M617" s="414"/>
      <c r="N617" s="414"/>
      <c r="O617" s="414"/>
    </row>
    <row r="618" spans="1:15">
      <c r="A618" s="474">
        <v>45927</v>
      </c>
      <c r="B618" s="216" t="s">
        <v>2897</v>
      </c>
      <c r="C618" s="216" t="s">
        <v>173</v>
      </c>
      <c r="D618" s="337" t="s">
        <v>116</v>
      </c>
      <c r="E618" s="475">
        <v>1000</v>
      </c>
      <c r="F618" s="463">
        <f t="shared" si="11"/>
        <v>1.8744037053212446</v>
      </c>
      <c r="G618" s="464">
        <v>533.50300000000004</v>
      </c>
      <c r="H618" s="339" t="s">
        <v>1508</v>
      </c>
      <c r="I618" s="216" t="s">
        <v>2911</v>
      </c>
      <c r="J618" s="247" t="s">
        <v>97</v>
      </c>
      <c r="K618" s="247" t="s">
        <v>1133</v>
      </c>
      <c r="L618" s="247" t="s">
        <v>154</v>
      </c>
      <c r="M618" s="414"/>
      <c r="N618" s="414"/>
      <c r="O618" s="414"/>
    </row>
    <row r="619" spans="1:15">
      <c r="A619" s="474">
        <v>45927</v>
      </c>
      <c r="B619" s="216" t="s">
        <v>2898</v>
      </c>
      <c r="C619" s="216" t="s">
        <v>173</v>
      </c>
      <c r="D619" s="337" t="s">
        <v>116</v>
      </c>
      <c r="E619" s="475">
        <v>1000</v>
      </c>
      <c r="F619" s="463">
        <f t="shared" si="11"/>
        <v>1.8744037053212446</v>
      </c>
      <c r="G619" s="464">
        <v>533.50300000000004</v>
      </c>
      <c r="H619" s="339" t="s">
        <v>1508</v>
      </c>
      <c r="I619" s="216" t="s">
        <v>2911</v>
      </c>
      <c r="J619" s="247" t="s">
        <v>97</v>
      </c>
      <c r="K619" s="247" t="s">
        <v>1133</v>
      </c>
      <c r="L619" s="247" t="s">
        <v>154</v>
      </c>
      <c r="M619" s="414"/>
      <c r="N619" s="414"/>
      <c r="O619" s="414"/>
    </row>
    <row r="620" spans="1:15">
      <c r="A620" s="474">
        <v>45927</v>
      </c>
      <c r="B620" s="216" t="s">
        <v>2239</v>
      </c>
      <c r="C620" s="216" t="s">
        <v>173</v>
      </c>
      <c r="D620" s="337" t="s">
        <v>116</v>
      </c>
      <c r="E620" s="475">
        <v>1500</v>
      </c>
      <c r="F620" s="463">
        <f t="shared" si="11"/>
        <v>2.8116055579818666</v>
      </c>
      <c r="G620" s="464">
        <v>533.50300000000004</v>
      </c>
      <c r="H620" s="339" t="s">
        <v>1508</v>
      </c>
      <c r="I620" s="216" t="s">
        <v>2911</v>
      </c>
      <c r="J620" s="247" t="s">
        <v>97</v>
      </c>
      <c r="K620" s="247" t="s">
        <v>1133</v>
      </c>
      <c r="L620" s="247" t="s">
        <v>154</v>
      </c>
      <c r="M620" s="414"/>
      <c r="N620" s="414"/>
      <c r="O620" s="414"/>
    </row>
    <row r="621" spans="1:15">
      <c r="A621" s="467">
        <v>45927</v>
      </c>
      <c r="B621" s="469" t="s">
        <v>2954</v>
      </c>
      <c r="C621" s="469" t="s">
        <v>173</v>
      </c>
      <c r="D621" s="469" t="s">
        <v>117</v>
      </c>
      <c r="E621" s="470">
        <v>1000</v>
      </c>
      <c r="F621" s="463">
        <f t="shared" si="11"/>
        <v>1.8744037053212446</v>
      </c>
      <c r="G621" s="464">
        <v>533.50300000000004</v>
      </c>
      <c r="H621" s="469" t="s">
        <v>583</v>
      </c>
      <c r="I621" s="469" t="s">
        <v>2970</v>
      </c>
      <c r="J621" s="247" t="s">
        <v>97</v>
      </c>
      <c r="K621" s="247" t="s">
        <v>1133</v>
      </c>
      <c r="L621" s="247" t="s">
        <v>154</v>
      </c>
      <c r="M621" s="414"/>
      <c r="N621" s="414"/>
      <c r="O621" s="414"/>
    </row>
    <row r="622" spans="1:15">
      <c r="A622" s="467">
        <v>45927</v>
      </c>
      <c r="B622" s="469" t="s">
        <v>2955</v>
      </c>
      <c r="C622" s="469" t="s">
        <v>173</v>
      </c>
      <c r="D622" s="469" t="s">
        <v>117</v>
      </c>
      <c r="E622" s="470">
        <v>1000</v>
      </c>
      <c r="F622" s="463">
        <f t="shared" si="11"/>
        <v>1.8744037053212446</v>
      </c>
      <c r="G622" s="464">
        <v>533.50300000000004</v>
      </c>
      <c r="H622" s="469" t="s">
        <v>583</v>
      </c>
      <c r="I622" s="469" t="s">
        <v>2970</v>
      </c>
      <c r="J622" s="247" t="s">
        <v>97</v>
      </c>
      <c r="K622" s="247" t="s">
        <v>1133</v>
      </c>
      <c r="L622" s="247" t="s">
        <v>154</v>
      </c>
      <c r="M622" s="414"/>
      <c r="N622" s="414"/>
      <c r="O622" s="414"/>
    </row>
    <row r="623" spans="1:15">
      <c r="A623" s="467">
        <v>45927</v>
      </c>
      <c r="B623" s="469" t="s">
        <v>2956</v>
      </c>
      <c r="C623" s="469" t="s">
        <v>173</v>
      </c>
      <c r="D623" s="469" t="s">
        <v>117</v>
      </c>
      <c r="E623" s="470">
        <v>500</v>
      </c>
      <c r="F623" s="463">
        <f t="shared" si="11"/>
        <v>0.93720185266062228</v>
      </c>
      <c r="G623" s="464">
        <v>533.50300000000004</v>
      </c>
      <c r="H623" s="469" t="s">
        <v>583</v>
      </c>
      <c r="I623" s="469" t="s">
        <v>2970</v>
      </c>
      <c r="J623" s="247" t="s">
        <v>97</v>
      </c>
      <c r="K623" s="247" t="s">
        <v>1133</v>
      </c>
      <c r="L623" s="247" t="s">
        <v>154</v>
      </c>
      <c r="M623" s="414"/>
      <c r="N623" s="414"/>
      <c r="O623" s="414"/>
    </row>
    <row r="624" spans="1:15">
      <c r="A624" s="467">
        <v>45927</v>
      </c>
      <c r="B624" s="469" t="s">
        <v>2957</v>
      </c>
      <c r="C624" s="469" t="s">
        <v>173</v>
      </c>
      <c r="D624" s="469" t="s">
        <v>117</v>
      </c>
      <c r="E624" s="470">
        <v>1000</v>
      </c>
      <c r="F624" s="463">
        <f t="shared" si="11"/>
        <v>1.8744037053212446</v>
      </c>
      <c r="G624" s="464">
        <v>533.50300000000004</v>
      </c>
      <c r="H624" s="469" t="s">
        <v>583</v>
      </c>
      <c r="I624" s="469" t="s">
        <v>2970</v>
      </c>
      <c r="J624" s="247" t="s">
        <v>97</v>
      </c>
      <c r="K624" s="247" t="s">
        <v>1133</v>
      </c>
      <c r="L624" s="247" t="s">
        <v>154</v>
      </c>
      <c r="M624" s="414"/>
      <c r="N624" s="414"/>
      <c r="O624" s="414"/>
    </row>
    <row r="625" spans="1:15">
      <c r="A625" s="467">
        <v>45927</v>
      </c>
      <c r="B625" s="469" t="s">
        <v>2958</v>
      </c>
      <c r="C625" s="469" t="s">
        <v>173</v>
      </c>
      <c r="D625" s="469" t="s">
        <v>117</v>
      </c>
      <c r="E625" s="470">
        <v>1000</v>
      </c>
      <c r="F625" s="463">
        <f t="shared" si="11"/>
        <v>1.8744037053212446</v>
      </c>
      <c r="G625" s="464">
        <v>533.50300000000004</v>
      </c>
      <c r="H625" s="469" t="s">
        <v>583</v>
      </c>
      <c r="I625" s="469" t="s">
        <v>2970</v>
      </c>
      <c r="J625" s="247" t="s">
        <v>97</v>
      </c>
      <c r="K625" s="247" t="s">
        <v>1133</v>
      </c>
      <c r="L625" s="247" t="s">
        <v>154</v>
      </c>
      <c r="M625" s="414"/>
      <c r="N625" s="414"/>
      <c r="O625" s="414"/>
    </row>
    <row r="626" spans="1:15">
      <c r="A626" s="467">
        <v>45927</v>
      </c>
      <c r="B626" s="469" t="s">
        <v>2959</v>
      </c>
      <c r="C626" s="469" t="s">
        <v>173</v>
      </c>
      <c r="D626" s="469" t="s">
        <v>117</v>
      </c>
      <c r="E626" s="470">
        <v>1000</v>
      </c>
      <c r="F626" s="463">
        <f t="shared" si="11"/>
        <v>1.8744037053212446</v>
      </c>
      <c r="G626" s="464">
        <v>533.50300000000004</v>
      </c>
      <c r="H626" s="469" t="s">
        <v>583</v>
      </c>
      <c r="I626" s="469" t="s">
        <v>2970</v>
      </c>
      <c r="J626" s="247" t="s">
        <v>97</v>
      </c>
      <c r="K626" s="247" t="s">
        <v>1133</v>
      </c>
      <c r="L626" s="247" t="s">
        <v>154</v>
      </c>
      <c r="M626" s="414"/>
      <c r="N626" s="414"/>
      <c r="O626" s="414"/>
    </row>
    <row r="627" spans="1:15">
      <c r="A627" s="476">
        <v>45927</v>
      </c>
      <c r="B627" s="469" t="s">
        <v>3138</v>
      </c>
      <c r="C627" s="469" t="s">
        <v>173</v>
      </c>
      <c r="D627" s="469" t="s">
        <v>120</v>
      </c>
      <c r="E627" s="469">
        <v>1000</v>
      </c>
      <c r="F627" s="463">
        <f t="shared" si="11"/>
        <v>1.8744037053212446</v>
      </c>
      <c r="G627" s="464">
        <v>533.50300000000004</v>
      </c>
      <c r="H627" s="469" t="s">
        <v>174</v>
      </c>
      <c r="I627" s="469" t="s">
        <v>3196</v>
      </c>
      <c r="J627" s="247" t="s">
        <v>97</v>
      </c>
      <c r="K627" s="247" t="s">
        <v>1133</v>
      </c>
      <c r="L627" s="247" t="s">
        <v>154</v>
      </c>
      <c r="M627" s="414"/>
      <c r="N627" s="414"/>
      <c r="O627" s="414"/>
    </row>
    <row r="628" spans="1:15">
      <c r="A628" s="476">
        <v>45927</v>
      </c>
      <c r="B628" s="469" t="s">
        <v>3139</v>
      </c>
      <c r="C628" s="469" t="s">
        <v>173</v>
      </c>
      <c r="D628" s="469" t="s">
        <v>120</v>
      </c>
      <c r="E628" s="469">
        <v>1000</v>
      </c>
      <c r="F628" s="463">
        <f t="shared" si="11"/>
        <v>1.8744037053212446</v>
      </c>
      <c r="G628" s="464">
        <v>533.50300000000004</v>
      </c>
      <c r="H628" s="469" t="s">
        <v>174</v>
      </c>
      <c r="I628" s="469" t="s">
        <v>3196</v>
      </c>
      <c r="J628" s="247" t="s">
        <v>97</v>
      </c>
      <c r="K628" s="247" t="s">
        <v>1133</v>
      </c>
      <c r="L628" s="247" t="s">
        <v>154</v>
      </c>
      <c r="M628" s="414"/>
      <c r="N628" s="414"/>
      <c r="O628" s="414"/>
    </row>
    <row r="629" spans="1:15">
      <c r="A629" s="461">
        <v>45927</v>
      </c>
      <c r="B629" s="469" t="s">
        <v>3403</v>
      </c>
      <c r="C629" s="243" t="s">
        <v>195</v>
      </c>
      <c r="D629" s="243" t="s">
        <v>116</v>
      </c>
      <c r="E629" s="478">
        <v>1000</v>
      </c>
      <c r="F629" s="463">
        <f t="shared" si="11"/>
        <v>1.8744037053212446</v>
      </c>
      <c r="G629" s="464">
        <v>533.50300000000004</v>
      </c>
      <c r="H629" s="360" t="s">
        <v>437</v>
      </c>
      <c r="I629" s="469" t="s">
        <v>3411</v>
      </c>
      <c r="J629" s="247" t="s">
        <v>97</v>
      </c>
      <c r="K629" s="247" t="s">
        <v>1133</v>
      </c>
      <c r="L629" s="247" t="s">
        <v>154</v>
      </c>
      <c r="M629" s="414"/>
      <c r="N629" s="76"/>
      <c r="O629" s="76"/>
    </row>
    <row r="630" spans="1:15">
      <c r="A630" s="461">
        <v>45927</v>
      </c>
      <c r="B630" s="469" t="s">
        <v>3404</v>
      </c>
      <c r="C630" s="243" t="s">
        <v>195</v>
      </c>
      <c r="D630" s="243" t="s">
        <v>116</v>
      </c>
      <c r="E630" s="478">
        <v>1000</v>
      </c>
      <c r="F630" s="463">
        <f t="shared" si="11"/>
        <v>1.8744037053212446</v>
      </c>
      <c r="G630" s="464">
        <v>533.50300000000004</v>
      </c>
      <c r="H630" s="360" t="s">
        <v>437</v>
      </c>
      <c r="I630" s="469" t="s">
        <v>3411</v>
      </c>
      <c r="J630" s="247" t="s">
        <v>97</v>
      </c>
      <c r="K630" s="247" t="s">
        <v>1133</v>
      </c>
      <c r="L630" s="247" t="s">
        <v>154</v>
      </c>
      <c r="M630" s="414"/>
      <c r="N630" s="76"/>
      <c r="O630" s="76"/>
    </row>
    <row r="631" spans="1:15">
      <c r="A631" s="476">
        <v>45927</v>
      </c>
      <c r="B631" s="469" t="s">
        <v>2718</v>
      </c>
      <c r="C631" s="469" t="s">
        <v>173</v>
      </c>
      <c r="D631" s="469" t="s">
        <v>119</v>
      </c>
      <c r="E631" s="472">
        <v>1000</v>
      </c>
      <c r="F631" s="463">
        <f t="shared" si="11"/>
        <v>1.8744037053212446</v>
      </c>
      <c r="G631" s="464">
        <v>533.50300000000004</v>
      </c>
      <c r="H631" s="469" t="s">
        <v>212</v>
      </c>
      <c r="I631" s="469" t="s">
        <v>3470</v>
      </c>
      <c r="J631" s="247" t="s">
        <v>97</v>
      </c>
      <c r="K631" s="247" t="s">
        <v>1133</v>
      </c>
      <c r="L631" s="247" t="s">
        <v>154</v>
      </c>
      <c r="M631" s="414"/>
      <c r="N631" s="76"/>
      <c r="O631" s="76"/>
    </row>
    <row r="632" spans="1:15">
      <c r="A632" s="476">
        <v>45927</v>
      </c>
      <c r="B632" s="469" t="s">
        <v>2720</v>
      </c>
      <c r="C632" s="469" t="s">
        <v>173</v>
      </c>
      <c r="D632" s="469" t="s">
        <v>119</v>
      </c>
      <c r="E632" s="472">
        <v>1000</v>
      </c>
      <c r="F632" s="463">
        <f t="shared" si="11"/>
        <v>1.8744037053212446</v>
      </c>
      <c r="G632" s="464">
        <v>533.50300000000004</v>
      </c>
      <c r="H632" s="469" t="s">
        <v>212</v>
      </c>
      <c r="I632" s="469" t="s">
        <v>3470</v>
      </c>
      <c r="J632" s="247" t="s">
        <v>97</v>
      </c>
      <c r="K632" s="247" t="s">
        <v>1133</v>
      </c>
      <c r="L632" s="247" t="s">
        <v>154</v>
      </c>
      <c r="M632" s="414"/>
      <c r="N632" s="76"/>
      <c r="O632" s="76"/>
    </row>
    <row r="633" spans="1:15">
      <c r="A633" s="476">
        <v>45928</v>
      </c>
      <c r="B633" s="469" t="s">
        <v>2100</v>
      </c>
      <c r="C633" s="462" t="s">
        <v>173</v>
      </c>
      <c r="D633" s="462" t="s">
        <v>118</v>
      </c>
      <c r="E633" s="359">
        <v>1000</v>
      </c>
      <c r="F633" s="463"/>
      <c r="G633" s="464">
        <v>533.50300000000004</v>
      </c>
      <c r="H633" s="465" t="s">
        <v>152</v>
      </c>
      <c r="I633" s="469" t="s">
        <v>2868</v>
      </c>
      <c r="J633" s="247" t="s">
        <v>97</v>
      </c>
      <c r="K633" s="247" t="s">
        <v>1133</v>
      </c>
      <c r="L633" s="247" t="s">
        <v>154</v>
      </c>
      <c r="M633" s="369"/>
      <c r="N633" s="335"/>
      <c r="O633" s="335"/>
    </row>
    <row r="634" spans="1:15">
      <c r="A634" s="476">
        <v>45928</v>
      </c>
      <c r="B634" s="469" t="s">
        <v>2384</v>
      </c>
      <c r="C634" s="462" t="s">
        <v>173</v>
      </c>
      <c r="D634" s="462" t="s">
        <v>118</v>
      </c>
      <c r="E634" s="359">
        <v>1000</v>
      </c>
      <c r="F634" s="463">
        <f t="shared" ref="F634:F648" si="12">E634/G634</f>
        <v>1.8744037053212446</v>
      </c>
      <c r="G634" s="464">
        <v>533.50300000000004</v>
      </c>
      <c r="H634" s="465" t="s">
        <v>152</v>
      </c>
      <c r="I634" s="469" t="s">
        <v>2868</v>
      </c>
      <c r="J634" s="247" t="s">
        <v>97</v>
      </c>
      <c r="K634" s="247" t="s">
        <v>1133</v>
      </c>
      <c r="L634" s="247" t="s">
        <v>154</v>
      </c>
      <c r="M634" s="335"/>
      <c r="N634" s="335"/>
      <c r="O634" s="335"/>
    </row>
    <row r="635" spans="1:15">
      <c r="A635" s="476">
        <v>45928</v>
      </c>
      <c r="B635" s="469" t="s">
        <v>2863</v>
      </c>
      <c r="C635" s="462" t="s">
        <v>173</v>
      </c>
      <c r="D635" s="462" t="s">
        <v>118</v>
      </c>
      <c r="E635" s="359">
        <v>9000</v>
      </c>
      <c r="F635" s="463">
        <f t="shared" si="12"/>
        <v>16.869633347891202</v>
      </c>
      <c r="G635" s="464">
        <v>533.50300000000004</v>
      </c>
      <c r="H635" s="465" t="s">
        <v>152</v>
      </c>
      <c r="I635" s="469" t="s">
        <v>2875</v>
      </c>
      <c r="J635" s="247" t="s">
        <v>97</v>
      </c>
      <c r="K635" s="247" t="s">
        <v>1133</v>
      </c>
      <c r="L635" s="247" t="s">
        <v>154</v>
      </c>
      <c r="M635" s="335"/>
      <c r="N635" s="335"/>
      <c r="O635" s="335"/>
    </row>
    <row r="636" spans="1:15">
      <c r="A636" s="474">
        <v>45928</v>
      </c>
      <c r="B636" s="216" t="s">
        <v>2899</v>
      </c>
      <c r="C636" s="216" t="s">
        <v>173</v>
      </c>
      <c r="D636" s="337" t="s">
        <v>116</v>
      </c>
      <c r="E636" s="475">
        <v>1500</v>
      </c>
      <c r="F636" s="463">
        <f t="shared" si="12"/>
        <v>2.8116055579818666</v>
      </c>
      <c r="G636" s="464">
        <v>533.50300000000004</v>
      </c>
      <c r="H636" s="339" t="s">
        <v>1508</v>
      </c>
      <c r="I636" s="216" t="s">
        <v>2911</v>
      </c>
      <c r="J636" s="247" t="s">
        <v>97</v>
      </c>
      <c r="K636" s="247" t="s">
        <v>1133</v>
      </c>
      <c r="L636" s="247" t="s">
        <v>154</v>
      </c>
      <c r="M636" s="414"/>
      <c r="N636" s="414"/>
      <c r="O636" s="414"/>
    </row>
    <row r="637" spans="1:15">
      <c r="A637" s="474">
        <v>45928</v>
      </c>
      <c r="B637" s="216" t="s">
        <v>2897</v>
      </c>
      <c r="C637" s="216" t="s">
        <v>173</v>
      </c>
      <c r="D637" s="337" t="s">
        <v>116</v>
      </c>
      <c r="E637" s="475">
        <v>1000</v>
      </c>
      <c r="F637" s="463">
        <f t="shared" si="12"/>
        <v>1.8744037053212446</v>
      </c>
      <c r="G637" s="464">
        <v>533.50300000000004</v>
      </c>
      <c r="H637" s="339" t="s">
        <v>1508</v>
      </c>
      <c r="I637" s="216" t="s">
        <v>2911</v>
      </c>
      <c r="J637" s="247" t="s">
        <v>97</v>
      </c>
      <c r="K637" s="247" t="s">
        <v>1133</v>
      </c>
      <c r="L637" s="247" t="s">
        <v>154</v>
      </c>
      <c r="M637" s="414"/>
      <c r="N637" s="414"/>
      <c r="O637" s="414"/>
    </row>
    <row r="638" spans="1:15">
      <c r="A638" s="474">
        <v>45928</v>
      </c>
      <c r="B638" s="216" t="s">
        <v>2900</v>
      </c>
      <c r="C638" s="216" t="s">
        <v>173</v>
      </c>
      <c r="D638" s="337" t="s">
        <v>116</v>
      </c>
      <c r="E638" s="475">
        <v>1000</v>
      </c>
      <c r="F638" s="463">
        <f t="shared" si="12"/>
        <v>1.8744037053212446</v>
      </c>
      <c r="G638" s="464">
        <v>533.50300000000004</v>
      </c>
      <c r="H638" s="339" t="s">
        <v>1508</v>
      </c>
      <c r="I638" s="216" t="s">
        <v>2911</v>
      </c>
      <c r="J638" s="247" t="s">
        <v>97</v>
      </c>
      <c r="K638" s="247" t="s">
        <v>1133</v>
      </c>
      <c r="L638" s="247" t="s">
        <v>154</v>
      </c>
      <c r="M638" s="414"/>
      <c r="N638" s="414"/>
      <c r="O638" s="414"/>
    </row>
    <row r="639" spans="1:15">
      <c r="A639" s="474">
        <v>45928</v>
      </c>
      <c r="B639" s="216" t="s">
        <v>2901</v>
      </c>
      <c r="C639" s="216" t="s">
        <v>173</v>
      </c>
      <c r="D639" s="337" t="s">
        <v>116</v>
      </c>
      <c r="E639" s="475">
        <v>1000</v>
      </c>
      <c r="F639" s="463">
        <f t="shared" si="12"/>
        <v>1.8744037053212446</v>
      </c>
      <c r="G639" s="464">
        <v>533.50300000000004</v>
      </c>
      <c r="H639" s="339" t="s">
        <v>1508</v>
      </c>
      <c r="I639" s="216" t="s">
        <v>2911</v>
      </c>
      <c r="J639" s="247" t="s">
        <v>97</v>
      </c>
      <c r="K639" s="247" t="s">
        <v>1133</v>
      </c>
      <c r="L639" s="247" t="s">
        <v>154</v>
      </c>
      <c r="M639" s="414"/>
      <c r="N639" s="414"/>
      <c r="O639" s="414"/>
    </row>
    <row r="640" spans="1:15">
      <c r="A640" s="474">
        <v>45928</v>
      </c>
      <c r="B640" s="216" t="s">
        <v>2898</v>
      </c>
      <c r="C640" s="216" t="s">
        <v>173</v>
      </c>
      <c r="D640" s="337" t="s">
        <v>116</v>
      </c>
      <c r="E640" s="475">
        <v>1000</v>
      </c>
      <c r="F640" s="463">
        <f t="shared" si="12"/>
        <v>1.8744037053212446</v>
      </c>
      <c r="G640" s="464">
        <v>533.50300000000004</v>
      </c>
      <c r="H640" s="339" t="s">
        <v>1508</v>
      </c>
      <c r="I640" s="216" t="s">
        <v>2911</v>
      </c>
      <c r="J640" s="247" t="s">
        <v>97</v>
      </c>
      <c r="K640" s="247" t="s">
        <v>1133</v>
      </c>
      <c r="L640" s="247" t="s">
        <v>154</v>
      </c>
      <c r="M640" s="414"/>
      <c r="N640" s="414"/>
      <c r="O640" s="414"/>
    </row>
    <row r="641" spans="1:15">
      <c r="A641" s="474">
        <v>45928</v>
      </c>
      <c r="B641" s="216" t="s">
        <v>2902</v>
      </c>
      <c r="C641" s="216" t="s">
        <v>173</v>
      </c>
      <c r="D641" s="337" t="s">
        <v>116</v>
      </c>
      <c r="E641" s="475">
        <v>1500</v>
      </c>
      <c r="F641" s="463">
        <f t="shared" si="12"/>
        <v>2.8116055579818666</v>
      </c>
      <c r="G641" s="464">
        <v>533.50300000000004</v>
      </c>
      <c r="H641" s="339" t="s">
        <v>1508</v>
      </c>
      <c r="I641" s="216" t="s">
        <v>2911</v>
      </c>
      <c r="J641" s="247" t="s">
        <v>97</v>
      </c>
      <c r="K641" s="247" t="s">
        <v>1133</v>
      </c>
      <c r="L641" s="247" t="s">
        <v>154</v>
      </c>
      <c r="M641" s="414"/>
      <c r="N641" s="414"/>
      <c r="O641" s="414"/>
    </row>
    <row r="642" spans="1:15">
      <c r="A642" s="474">
        <v>45928</v>
      </c>
      <c r="B642" s="216" t="s">
        <v>2903</v>
      </c>
      <c r="C642" s="216" t="s">
        <v>173</v>
      </c>
      <c r="D642" s="337" t="s">
        <v>116</v>
      </c>
      <c r="E642" s="475">
        <v>9000</v>
      </c>
      <c r="F642" s="463">
        <f t="shared" si="12"/>
        <v>16.869633347891202</v>
      </c>
      <c r="G642" s="464">
        <v>533.50300000000004</v>
      </c>
      <c r="H642" s="339" t="s">
        <v>1508</v>
      </c>
      <c r="I642" s="216" t="s">
        <v>2925</v>
      </c>
      <c r="J642" s="247" t="s">
        <v>97</v>
      </c>
      <c r="K642" s="247" t="s">
        <v>1133</v>
      </c>
      <c r="L642" s="247" t="s">
        <v>154</v>
      </c>
      <c r="M642" s="414"/>
      <c r="N642" s="414"/>
      <c r="O642" s="414"/>
    </row>
    <row r="643" spans="1:15">
      <c r="A643" s="467">
        <v>45928</v>
      </c>
      <c r="B643" s="469" t="s">
        <v>2960</v>
      </c>
      <c r="C643" s="469" t="s">
        <v>173</v>
      </c>
      <c r="D643" s="469" t="s">
        <v>117</v>
      </c>
      <c r="E643" s="470">
        <v>1000</v>
      </c>
      <c r="F643" s="463">
        <f t="shared" si="12"/>
        <v>1.7827155035636482</v>
      </c>
      <c r="G643" s="464">
        <v>560.94200000000001</v>
      </c>
      <c r="H643" s="469" t="s">
        <v>583</v>
      </c>
      <c r="I643" s="469" t="s">
        <v>2970</v>
      </c>
      <c r="J643" s="247" t="s">
        <v>97</v>
      </c>
      <c r="K643" s="247" t="s">
        <v>1903</v>
      </c>
      <c r="L643" s="247" t="s">
        <v>154</v>
      </c>
      <c r="M643" s="414"/>
      <c r="N643" s="414"/>
      <c r="O643" s="414"/>
    </row>
    <row r="644" spans="1:15">
      <c r="A644" s="467">
        <v>45928</v>
      </c>
      <c r="B644" s="469" t="s">
        <v>2959</v>
      </c>
      <c r="C644" s="469" t="s">
        <v>173</v>
      </c>
      <c r="D644" s="469" t="s">
        <v>117</v>
      </c>
      <c r="E644" s="470">
        <v>1000</v>
      </c>
      <c r="F644" s="463">
        <f t="shared" si="12"/>
        <v>1.7827155035636482</v>
      </c>
      <c r="G644" s="464">
        <v>560.94200000000001</v>
      </c>
      <c r="H644" s="469" t="s">
        <v>583</v>
      </c>
      <c r="I644" s="469" t="s">
        <v>2970</v>
      </c>
      <c r="J644" s="247" t="s">
        <v>97</v>
      </c>
      <c r="K644" s="247" t="s">
        <v>1903</v>
      </c>
      <c r="L644" s="247" t="s">
        <v>154</v>
      </c>
      <c r="M644" s="414"/>
      <c r="N644" s="414"/>
      <c r="O644" s="414"/>
    </row>
    <row r="645" spans="1:15">
      <c r="A645" s="476">
        <v>45928</v>
      </c>
      <c r="B645" s="469" t="s">
        <v>3177</v>
      </c>
      <c r="C645" s="469" t="s">
        <v>173</v>
      </c>
      <c r="D645" s="469" t="s">
        <v>120</v>
      </c>
      <c r="E645" s="469">
        <v>1000</v>
      </c>
      <c r="F645" s="463">
        <f t="shared" si="12"/>
        <v>1.7827155035636482</v>
      </c>
      <c r="G645" s="464">
        <v>560.94200000000001</v>
      </c>
      <c r="H645" s="469" t="s">
        <v>174</v>
      </c>
      <c r="I645" s="469" t="s">
        <v>3196</v>
      </c>
      <c r="J645" s="247" t="s">
        <v>97</v>
      </c>
      <c r="K645" s="247" t="s">
        <v>1903</v>
      </c>
      <c r="L645" s="247" t="s">
        <v>154</v>
      </c>
      <c r="M645" s="414"/>
      <c r="N645" s="414"/>
      <c r="O645" s="414"/>
    </row>
    <row r="646" spans="1:15">
      <c r="A646" s="476">
        <v>45928</v>
      </c>
      <c r="B646" s="469" t="s">
        <v>3178</v>
      </c>
      <c r="C646" s="469" t="s">
        <v>173</v>
      </c>
      <c r="D646" s="469" t="s">
        <v>120</v>
      </c>
      <c r="E646" s="469">
        <v>1000</v>
      </c>
      <c r="F646" s="463">
        <f t="shared" si="12"/>
        <v>1.7827155035636482</v>
      </c>
      <c r="G646" s="464">
        <v>560.94200000000001</v>
      </c>
      <c r="H646" s="469" t="s">
        <v>174</v>
      </c>
      <c r="I646" s="469" t="s">
        <v>3196</v>
      </c>
      <c r="J646" s="247" t="s">
        <v>97</v>
      </c>
      <c r="K646" s="247" t="s">
        <v>1903</v>
      </c>
      <c r="L646" s="247" t="s">
        <v>154</v>
      </c>
      <c r="M646" s="414"/>
      <c r="N646" s="414"/>
      <c r="O646" s="414"/>
    </row>
    <row r="647" spans="1:15">
      <c r="A647" s="476">
        <v>45928</v>
      </c>
      <c r="B647" s="469" t="s">
        <v>3179</v>
      </c>
      <c r="C647" s="469" t="s">
        <v>173</v>
      </c>
      <c r="D647" s="469" t="s">
        <v>120</v>
      </c>
      <c r="E647" s="469">
        <v>1000</v>
      </c>
      <c r="F647" s="463">
        <f t="shared" si="12"/>
        <v>1.7827155035636482</v>
      </c>
      <c r="G647" s="464">
        <v>560.94200000000001</v>
      </c>
      <c r="H647" s="469" t="s">
        <v>174</v>
      </c>
      <c r="I647" s="469" t="s">
        <v>3196</v>
      </c>
      <c r="J647" s="247" t="s">
        <v>97</v>
      </c>
      <c r="K647" s="247" t="s">
        <v>1903</v>
      </c>
      <c r="L647" s="247" t="s">
        <v>154</v>
      </c>
      <c r="M647" s="414"/>
      <c r="N647" s="414"/>
      <c r="O647" s="414"/>
    </row>
    <row r="648" spans="1:15">
      <c r="A648" s="476">
        <v>45928</v>
      </c>
      <c r="B648" s="469" t="s">
        <v>3180</v>
      </c>
      <c r="C648" s="469" t="s">
        <v>173</v>
      </c>
      <c r="D648" s="469" t="s">
        <v>120</v>
      </c>
      <c r="E648" s="469">
        <v>1000</v>
      </c>
      <c r="F648" s="463">
        <f t="shared" si="12"/>
        <v>1.7827155035636482</v>
      </c>
      <c r="G648" s="464">
        <v>560.94200000000001</v>
      </c>
      <c r="H648" s="469" t="s">
        <v>174</v>
      </c>
      <c r="I648" s="469" t="s">
        <v>3196</v>
      </c>
      <c r="J648" s="247" t="s">
        <v>97</v>
      </c>
      <c r="K648" s="247" t="s">
        <v>1903</v>
      </c>
      <c r="L648" s="247" t="s">
        <v>154</v>
      </c>
      <c r="M648" s="335"/>
      <c r="N648" s="335"/>
      <c r="O648" s="335"/>
    </row>
    <row r="649" spans="1:15">
      <c r="A649" s="476">
        <v>45928</v>
      </c>
      <c r="B649" s="469" t="s">
        <v>3181</v>
      </c>
      <c r="C649" s="469" t="s">
        <v>173</v>
      </c>
      <c r="D649" s="469" t="s">
        <v>120</v>
      </c>
      <c r="E649" s="469">
        <v>1000</v>
      </c>
      <c r="F649" s="463"/>
      <c r="G649" s="464">
        <v>560.94200000000001</v>
      </c>
      <c r="H649" s="469" t="s">
        <v>174</v>
      </c>
      <c r="I649" s="469" t="s">
        <v>3196</v>
      </c>
      <c r="J649" s="247" t="s">
        <v>97</v>
      </c>
      <c r="K649" s="247" t="s">
        <v>1903</v>
      </c>
      <c r="L649" s="247" t="s">
        <v>154</v>
      </c>
      <c r="M649" s="369"/>
      <c r="N649" s="335"/>
      <c r="O649" s="335"/>
    </row>
    <row r="650" spans="1:15">
      <c r="A650" s="476">
        <v>45928</v>
      </c>
      <c r="B650" s="469" t="s">
        <v>3182</v>
      </c>
      <c r="C650" s="469" t="s">
        <v>368</v>
      </c>
      <c r="D650" s="469" t="s">
        <v>120</v>
      </c>
      <c r="E650" s="469">
        <v>3500</v>
      </c>
      <c r="F650" s="463">
        <f t="shared" ref="F650:F688" si="13">E650/G650</f>
        <v>6.239504262472769</v>
      </c>
      <c r="G650" s="464">
        <v>560.94200000000001</v>
      </c>
      <c r="H650" s="469" t="s">
        <v>174</v>
      </c>
      <c r="I650" s="469" t="s">
        <v>3201</v>
      </c>
      <c r="J650" s="247" t="s">
        <v>97</v>
      </c>
      <c r="K650" s="247" t="s">
        <v>1903</v>
      </c>
      <c r="L650" s="247" t="s">
        <v>154</v>
      </c>
      <c r="M650" s="335"/>
      <c r="N650" s="335"/>
      <c r="O650" s="335"/>
    </row>
    <row r="651" spans="1:15">
      <c r="A651" s="461">
        <v>45928</v>
      </c>
      <c r="B651" s="469" t="s">
        <v>3405</v>
      </c>
      <c r="C651" s="243" t="s">
        <v>195</v>
      </c>
      <c r="D651" s="243" t="s">
        <v>116</v>
      </c>
      <c r="E651" s="478">
        <v>1000</v>
      </c>
      <c r="F651" s="463">
        <f t="shared" si="13"/>
        <v>1.7827155035636482</v>
      </c>
      <c r="G651" s="464">
        <v>560.94200000000001</v>
      </c>
      <c r="H651" s="360" t="s">
        <v>437</v>
      </c>
      <c r="I651" s="469" t="s">
        <v>3411</v>
      </c>
      <c r="J651" s="247" t="s">
        <v>97</v>
      </c>
      <c r="K651" s="247" t="s">
        <v>1903</v>
      </c>
      <c r="L651" s="247" t="s">
        <v>154</v>
      </c>
      <c r="M651" s="414"/>
      <c r="N651" s="76"/>
      <c r="O651" s="76"/>
    </row>
    <row r="652" spans="1:15">
      <c r="A652" s="461">
        <v>45928</v>
      </c>
      <c r="B652" s="247" t="s">
        <v>3406</v>
      </c>
      <c r="C652" s="243" t="s">
        <v>195</v>
      </c>
      <c r="D652" s="243" t="s">
        <v>116</v>
      </c>
      <c r="E652" s="478">
        <v>9000</v>
      </c>
      <c r="F652" s="463">
        <f t="shared" si="13"/>
        <v>16.044439532072836</v>
      </c>
      <c r="G652" s="464">
        <v>560.94200000000001</v>
      </c>
      <c r="H652" s="360" t="s">
        <v>437</v>
      </c>
      <c r="I652" s="469" t="s">
        <v>3425</v>
      </c>
      <c r="J652" s="247" t="s">
        <v>97</v>
      </c>
      <c r="K652" s="247" t="s">
        <v>1903</v>
      </c>
      <c r="L652" s="247" t="s">
        <v>154</v>
      </c>
      <c r="M652" s="414"/>
      <c r="N652" s="76"/>
      <c r="O652" s="76"/>
    </row>
    <row r="653" spans="1:15">
      <c r="A653" s="461">
        <v>45928</v>
      </c>
      <c r="B653" s="469" t="s">
        <v>3404</v>
      </c>
      <c r="C653" s="243" t="s">
        <v>195</v>
      </c>
      <c r="D653" s="243" t="s">
        <v>116</v>
      </c>
      <c r="E653" s="478">
        <v>1000</v>
      </c>
      <c r="F653" s="463">
        <f t="shared" si="13"/>
        <v>1.7827155035636482</v>
      </c>
      <c r="G653" s="464">
        <v>560.94200000000001</v>
      </c>
      <c r="H653" s="360" t="s">
        <v>437</v>
      </c>
      <c r="I653" s="469" t="s">
        <v>3411</v>
      </c>
      <c r="J653" s="247" t="s">
        <v>97</v>
      </c>
      <c r="K653" s="247" t="s">
        <v>1903</v>
      </c>
      <c r="L653" s="247" t="s">
        <v>154</v>
      </c>
      <c r="M653" s="414"/>
      <c r="N653" s="76"/>
      <c r="O653" s="76"/>
    </row>
    <row r="654" spans="1:15">
      <c r="A654" s="476">
        <v>45928</v>
      </c>
      <c r="B654" s="469" t="s">
        <v>2718</v>
      </c>
      <c r="C654" s="469" t="s">
        <v>173</v>
      </c>
      <c r="D654" s="469" t="s">
        <v>119</v>
      </c>
      <c r="E654" s="472">
        <v>1000</v>
      </c>
      <c r="F654" s="463">
        <f t="shared" si="13"/>
        <v>1.7827155035636482</v>
      </c>
      <c r="G654" s="464">
        <v>560.94200000000001</v>
      </c>
      <c r="H654" s="469" t="s">
        <v>212</v>
      </c>
      <c r="I654" s="469" t="s">
        <v>3470</v>
      </c>
      <c r="J654" s="247" t="s">
        <v>97</v>
      </c>
      <c r="K654" s="247" t="s">
        <v>1903</v>
      </c>
      <c r="L654" s="247" t="s">
        <v>154</v>
      </c>
      <c r="M654" s="414"/>
      <c r="N654" s="76"/>
      <c r="O654" s="76"/>
    </row>
    <row r="655" spans="1:15">
      <c r="A655" s="476">
        <v>45928</v>
      </c>
      <c r="B655" s="469" t="s">
        <v>3621</v>
      </c>
      <c r="C655" s="469" t="s">
        <v>173</v>
      </c>
      <c r="D655" s="469" t="s">
        <v>119</v>
      </c>
      <c r="E655" s="472">
        <v>9000</v>
      </c>
      <c r="F655" s="463">
        <f t="shared" si="13"/>
        <v>16.044439532072836</v>
      </c>
      <c r="G655" s="464">
        <v>560.94200000000001</v>
      </c>
      <c r="H655" s="469" t="s">
        <v>212</v>
      </c>
      <c r="I655" s="469" t="s">
        <v>3483</v>
      </c>
      <c r="J655" s="247" t="s">
        <v>97</v>
      </c>
      <c r="K655" s="247" t="s">
        <v>1903</v>
      </c>
      <c r="L655" s="247" t="s">
        <v>154</v>
      </c>
      <c r="M655" s="414"/>
      <c r="N655" s="76"/>
      <c r="O655" s="76"/>
    </row>
    <row r="656" spans="1:15">
      <c r="A656" s="476">
        <v>45928</v>
      </c>
      <c r="B656" s="469" t="s">
        <v>2720</v>
      </c>
      <c r="C656" s="469" t="s">
        <v>173</v>
      </c>
      <c r="D656" s="469" t="s">
        <v>119</v>
      </c>
      <c r="E656" s="472">
        <v>1000</v>
      </c>
      <c r="F656" s="463">
        <f t="shared" si="13"/>
        <v>1.7827155035636482</v>
      </c>
      <c r="G656" s="464">
        <v>560.94200000000001</v>
      </c>
      <c r="H656" s="469" t="s">
        <v>212</v>
      </c>
      <c r="I656" s="469" t="s">
        <v>3470</v>
      </c>
      <c r="J656" s="247" t="s">
        <v>97</v>
      </c>
      <c r="K656" s="247" t="s">
        <v>1903</v>
      </c>
      <c r="L656" s="247" t="s">
        <v>154</v>
      </c>
      <c r="M656" s="414"/>
      <c r="N656" s="76"/>
      <c r="O656" s="76"/>
    </row>
    <row r="657" spans="1:15">
      <c r="A657" s="476">
        <v>45929</v>
      </c>
      <c r="B657" s="469" t="s">
        <v>2864</v>
      </c>
      <c r="C657" s="462" t="s">
        <v>173</v>
      </c>
      <c r="D657" s="462" t="s">
        <v>118</v>
      </c>
      <c r="E657" s="359">
        <v>1000</v>
      </c>
      <c r="F657" s="463">
        <f t="shared" si="13"/>
        <v>1.7827155035636482</v>
      </c>
      <c r="G657" s="464">
        <v>560.94200000000001</v>
      </c>
      <c r="H657" s="465" t="s">
        <v>152</v>
      </c>
      <c r="I657" s="469" t="s">
        <v>2868</v>
      </c>
      <c r="J657" s="247" t="s">
        <v>97</v>
      </c>
      <c r="K657" s="247" t="s">
        <v>1903</v>
      </c>
      <c r="L657" s="247" t="s">
        <v>154</v>
      </c>
      <c r="M657" s="335"/>
      <c r="N657" s="335"/>
      <c r="O657" s="335"/>
    </row>
    <row r="658" spans="1:15">
      <c r="A658" s="476">
        <v>45929</v>
      </c>
      <c r="B658" s="359" t="s">
        <v>2866</v>
      </c>
      <c r="C658" s="462" t="s">
        <v>151</v>
      </c>
      <c r="D658" s="462" t="s">
        <v>118</v>
      </c>
      <c r="E658" s="359">
        <v>12500</v>
      </c>
      <c r="F658" s="463">
        <f t="shared" si="13"/>
        <v>22.283943794545603</v>
      </c>
      <c r="G658" s="464">
        <v>560.94200000000001</v>
      </c>
      <c r="H658" s="465" t="s">
        <v>152</v>
      </c>
      <c r="I658" s="469" t="s">
        <v>2877</v>
      </c>
      <c r="J658" s="247" t="s">
        <v>97</v>
      </c>
      <c r="K658" s="247" t="s">
        <v>1903</v>
      </c>
      <c r="L658" s="247" t="s">
        <v>154</v>
      </c>
      <c r="M658" s="414"/>
      <c r="N658" s="414"/>
      <c r="O658" s="414"/>
    </row>
    <row r="659" spans="1:15">
      <c r="A659" s="476">
        <v>45929</v>
      </c>
      <c r="B659" s="469" t="s">
        <v>3616</v>
      </c>
      <c r="C659" s="462" t="s">
        <v>2391</v>
      </c>
      <c r="D659" s="462" t="s">
        <v>118</v>
      </c>
      <c r="E659" s="359">
        <v>30000</v>
      </c>
      <c r="F659" s="463">
        <f t="shared" si="13"/>
        <v>53.481465106909447</v>
      </c>
      <c r="G659" s="464">
        <v>560.94200000000001</v>
      </c>
      <c r="H659" s="465" t="s">
        <v>152</v>
      </c>
      <c r="I659" s="469" t="s">
        <v>3610</v>
      </c>
      <c r="J659" s="247" t="s">
        <v>97</v>
      </c>
      <c r="K659" s="247" t="s">
        <v>1903</v>
      </c>
      <c r="L659" s="247" t="s">
        <v>154</v>
      </c>
      <c r="M659" s="414"/>
      <c r="N659" s="414"/>
      <c r="O659" s="414"/>
    </row>
    <row r="660" spans="1:15">
      <c r="A660" s="474">
        <v>45929</v>
      </c>
      <c r="B660" s="247" t="s">
        <v>2904</v>
      </c>
      <c r="C660" s="243" t="s">
        <v>151</v>
      </c>
      <c r="D660" s="243" t="s">
        <v>116</v>
      </c>
      <c r="E660" s="475">
        <v>10000</v>
      </c>
      <c r="F660" s="463">
        <f t="shared" si="13"/>
        <v>17.827155035636483</v>
      </c>
      <c r="G660" s="464">
        <v>560.94200000000001</v>
      </c>
      <c r="H660" s="339" t="s">
        <v>1508</v>
      </c>
      <c r="I660" s="216" t="s">
        <v>2926</v>
      </c>
      <c r="J660" s="247" t="s">
        <v>97</v>
      </c>
      <c r="K660" s="247" t="s">
        <v>1903</v>
      </c>
      <c r="L660" s="247" t="s">
        <v>154</v>
      </c>
      <c r="M660" s="335"/>
      <c r="N660" s="335"/>
      <c r="O660" s="335"/>
    </row>
    <row r="661" spans="1:15">
      <c r="A661" s="474">
        <v>45929</v>
      </c>
      <c r="B661" s="216" t="s">
        <v>2905</v>
      </c>
      <c r="C661" s="216" t="s">
        <v>2391</v>
      </c>
      <c r="D661" s="337" t="s">
        <v>116</v>
      </c>
      <c r="E661" s="475">
        <v>60000</v>
      </c>
      <c r="F661" s="463">
        <f t="shared" si="13"/>
        <v>106.96293021381889</v>
      </c>
      <c r="G661" s="464">
        <v>560.94200000000001</v>
      </c>
      <c r="H661" s="339" t="s">
        <v>1508</v>
      </c>
      <c r="I661" s="216" t="s">
        <v>2927</v>
      </c>
      <c r="J661" s="247" t="s">
        <v>97</v>
      </c>
      <c r="K661" s="247" t="s">
        <v>1903</v>
      </c>
      <c r="L661" s="247" t="s">
        <v>154</v>
      </c>
      <c r="M661" s="335"/>
      <c r="N661" s="335"/>
      <c r="O661" s="335"/>
    </row>
    <row r="662" spans="1:15">
      <c r="A662" s="474">
        <v>45929</v>
      </c>
      <c r="B662" s="216" t="s">
        <v>2906</v>
      </c>
      <c r="C662" s="216" t="s">
        <v>173</v>
      </c>
      <c r="D662" s="337" t="s">
        <v>116</v>
      </c>
      <c r="E662" s="475">
        <v>2500</v>
      </c>
      <c r="F662" s="463">
        <f t="shared" si="13"/>
        <v>4.4567887589091209</v>
      </c>
      <c r="G662" s="464">
        <v>560.94200000000001</v>
      </c>
      <c r="H662" s="339" t="s">
        <v>1508</v>
      </c>
      <c r="I662" s="216" t="s">
        <v>2911</v>
      </c>
      <c r="J662" s="247" t="s">
        <v>97</v>
      </c>
      <c r="K662" s="247" t="s">
        <v>1903</v>
      </c>
      <c r="L662" s="247" t="s">
        <v>154</v>
      </c>
      <c r="M662" s="335"/>
      <c r="N662" s="335"/>
      <c r="O662" s="335"/>
    </row>
    <row r="663" spans="1:15">
      <c r="A663" s="467">
        <v>45929</v>
      </c>
      <c r="B663" s="469" t="s">
        <v>2961</v>
      </c>
      <c r="C663" s="469" t="s">
        <v>173</v>
      </c>
      <c r="D663" s="469" t="s">
        <v>117</v>
      </c>
      <c r="E663" s="470">
        <v>1500</v>
      </c>
      <c r="F663" s="463">
        <f t="shared" si="13"/>
        <v>2.6740732553454722</v>
      </c>
      <c r="G663" s="464">
        <v>560.94200000000001</v>
      </c>
      <c r="H663" s="469" t="s">
        <v>583</v>
      </c>
      <c r="I663" s="469" t="s">
        <v>2970</v>
      </c>
      <c r="J663" s="247" t="s">
        <v>97</v>
      </c>
      <c r="K663" s="247" t="s">
        <v>1903</v>
      </c>
      <c r="L663" s="247" t="s">
        <v>154</v>
      </c>
      <c r="M663" s="414"/>
      <c r="N663" s="414"/>
      <c r="O663" s="414"/>
    </row>
    <row r="664" spans="1:15">
      <c r="A664" s="467">
        <v>45929</v>
      </c>
      <c r="B664" s="469" t="s">
        <v>2962</v>
      </c>
      <c r="C664" s="469" t="s">
        <v>173</v>
      </c>
      <c r="D664" s="469" t="s">
        <v>117</v>
      </c>
      <c r="E664" s="470">
        <v>500</v>
      </c>
      <c r="F664" s="463">
        <f t="shared" si="13"/>
        <v>0.89135775178182408</v>
      </c>
      <c r="G664" s="464">
        <v>560.94200000000001</v>
      </c>
      <c r="H664" s="469" t="s">
        <v>583</v>
      </c>
      <c r="I664" s="469" t="s">
        <v>2970</v>
      </c>
      <c r="J664" s="247" t="s">
        <v>97</v>
      </c>
      <c r="K664" s="247" t="s">
        <v>1903</v>
      </c>
      <c r="L664" s="247" t="s">
        <v>154</v>
      </c>
      <c r="M664" s="414"/>
      <c r="N664" s="414"/>
      <c r="O664" s="414"/>
    </row>
    <row r="665" spans="1:15">
      <c r="A665" s="467">
        <v>45929</v>
      </c>
      <c r="B665" s="469" t="s">
        <v>2940</v>
      </c>
      <c r="C665" s="469" t="s">
        <v>173</v>
      </c>
      <c r="D665" s="469" t="s">
        <v>117</v>
      </c>
      <c r="E665" s="470">
        <v>1500</v>
      </c>
      <c r="F665" s="463">
        <f t="shared" si="13"/>
        <v>2.6740732553454722</v>
      </c>
      <c r="G665" s="464">
        <v>560.94200000000001</v>
      </c>
      <c r="H665" s="469" t="s">
        <v>583</v>
      </c>
      <c r="I665" s="469" t="s">
        <v>2970</v>
      </c>
      <c r="J665" s="247" t="s">
        <v>97</v>
      </c>
      <c r="K665" s="247" t="s">
        <v>1903</v>
      </c>
      <c r="L665" s="247" t="s">
        <v>154</v>
      </c>
      <c r="M665" s="414"/>
      <c r="N665" s="414"/>
      <c r="O665" s="414"/>
    </row>
    <row r="666" spans="1:15">
      <c r="A666" s="467">
        <v>45929</v>
      </c>
      <c r="B666" s="469" t="s">
        <v>2963</v>
      </c>
      <c r="C666" s="472" t="s">
        <v>151</v>
      </c>
      <c r="D666" s="469" t="s">
        <v>118</v>
      </c>
      <c r="E666" s="470">
        <v>7500</v>
      </c>
      <c r="F666" s="463">
        <f t="shared" si="13"/>
        <v>13.370366276727362</v>
      </c>
      <c r="G666" s="464">
        <v>560.94200000000001</v>
      </c>
      <c r="H666" s="469" t="s">
        <v>583</v>
      </c>
      <c r="I666" s="469" t="s">
        <v>2984</v>
      </c>
      <c r="J666" s="247" t="s">
        <v>97</v>
      </c>
      <c r="K666" s="247" t="s">
        <v>1903</v>
      </c>
      <c r="L666" s="247" t="s">
        <v>154</v>
      </c>
      <c r="M666" s="414"/>
      <c r="N666" s="414"/>
      <c r="O666" s="414"/>
    </row>
    <row r="667" spans="1:15">
      <c r="A667" s="474">
        <v>45929</v>
      </c>
      <c r="B667" s="475" t="s">
        <v>4073</v>
      </c>
      <c r="C667" s="475" t="s">
        <v>173</v>
      </c>
      <c r="D667" s="475" t="s">
        <v>120</v>
      </c>
      <c r="E667" s="475">
        <v>1000</v>
      </c>
      <c r="F667" s="463">
        <f t="shared" si="13"/>
        <v>1.7827155035636482</v>
      </c>
      <c r="G667" s="464">
        <v>560.94200000000001</v>
      </c>
      <c r="H667" s="475" t="s">
        <v>183</v>
      </c>
      <c r="I667" s="475" t="s">
        <v>3086</v>
      </c>
      <c r="J667" s="247" t="s">
        <v>97</v>
      </c>
      <c r="K667" s="247" t="s">
        <v>1903</v>
      </c>
      <c r="L667" s="247" t="s">
        <v>154</v>
      </c>
      <c r="M667" s="414"/>
      <c r="N667" s="414"/>
      <c r="O667" s="414"/>
    </row>
    <row r="668" spans="1:15">
      <c r="A668" s="474">
        <v>45929</v>
      </c>
      <c r="B668" s="475" t="s">
        <v>4072</v>
      </c>
      <c r="C668" s="475" t="s">
        <v>173</v>
      </c>
      <c r="D668" s="475" t="s">
        <v>120</v>
      </c>
      <c r="E668" s="475">
        <v>1000</v>
      </c>
      <c r="F668" s="463">
        <f t="shared" si="13"/>
        <v>1.7827155035636482</v>
      </c>
      <c r="G668" s="464">
        <v>560.94200000000001</v>
      </c>
      <c r="H668" s="475" t="s">
        <v>183</v>
      </c>
      <c r="I668" s="475" t="s">
        <v>3086</v>
      </c>
      <c r="J668" s="247" t="s">
        <v>97</v>
      </c>
      <c r="K668" s="247" t="s">
        <v>1903</v>
      </c>
      <c r="L668" s="247" t="s">
        <v>154</v>
      </c>
      <c r="M668" s="414"/>
      <c r="N668" s="414"/>
      <c r="O668" s="414"/>
    </row>
    <row r="669" spans="1:15">
      <c r="A669" s="474">
        <v>45929</v>
      </c>
      <c r="B669" s="475" t="s">
        <v>3079</v>
      </c>
      <c r="C669" s="475" t="s">
        <v>173</v>
      </c>
      <c r="D669" s="475" t="s">
        <v>120</v>
      </c>
      <c r="E669" s="475">
        <v>1000</v>
      </c>
      <c r="F669" s="463">
        <f t="shared" si="13"/>
        <v>1.7827155035636482</v>
      </c>
      <c r="G669" s="464">
        <v>560.94200000000001</v>
      </c>
      <c r="H669" s="475" t="s">
        <v>183</v>
      </c>
      <c r="I669" s="475" t="s">
        <v>3086</v>
      </c>
      <c r="J669" s="247" t="s">
        <v>97</v>
      </c>
      <c r="K669" s="247" t="s">
        <v>1903</v>
      </c>
      <c r="L669" s="247" t="s">
        <v>154</v>
      </c>
      <c r="M669" s="414"/>
      <c r="N669" s="414"/>
      <c r="O669" s="414"/>
    </row>
    <row r="670" spans="1:15">
      <c r="A670" s="474">
        <v>45929</v>
      </c>
      <c r="B670" s="475" t="s">
        <v>3080</v>
      </c>
      <c r="C670" s="475" t="s">
        <v>173</v>
      </c>
      <c r="D670" s="475" t="s">
        <v>120</v>
      </c>
      <c r="E670" s="475">
        <v>1000</v>
      </c>
      <c r="F670" s="463">
        <f t="shared" si="13"/>
        <v>1.7827155035636482</v>
      </c>
      <c r="G670" s="464">
        <v>560.94200000000001</v>
      </c>
      <c r="H670" s="475" t="s">
        <v>183</v>
      </c>
      <c r="I670" s="475" t="s">
        <v>3086</v>
      </c>
      <c r="J670" s="247" t="s">
        <v>97</v>
      </c>
      <c r="K670" s="247" t="s">
        <v>1903</v>
      </c>
      <c r="L670" s="247" t="s">
        <v>154</v>
      </c>
      <c r="M670" s="414"/>
      <c r="N670" s="414"/>
      <c r="O670" s="414"/>
    </row>
    <row r="671" spans="1:15">
      <c r="A671" s="474">
        <v>45929</v>
      </c>
      <c r="B671" s="475" t="s">
        <v>3081</v>
      </c>
      <c r="C671" s="475" t="s">
        <v>173</v>
      </c>
      <c r="D671" s="475" t="s">
        <v>120</v>
      </c>
      <c r="E671" s="475">
        <v>1000</v>
      </c>
      <c r="F671" s="463">
        <f t="shared" si="13"/>
        <v>1.7827155035636482</v>
      </c>
      <c r="G671" s="464">
        <v>560.94200000000001</v>
      </c>
      <c r="H671" s="475" t="s">
        <v>183</v>
      </c>
      <c r="I671" s="475" t="s">
        <v>3086</v>
      </c>
      <c r="J671" s="247" t="s">
        <v>97</v>
      </c>
      <c r="K671" s="247" t="s">
        <v>1903</v>
      </c>
      <c r="L671" s="247" t="s">
        <v>154</v>
      </c>
      <c r="M671" s="414"/>
      <c r="N671" s="414"/>
      <c r="O671" s="414"/>
    </row>
    <row r="672" spans="1:15">
      <c r="A672" s="474">
        <v>45929</v>
      </c>
      <c r="B672" s="475" t="s">
        <v>3082</v>
      </c>
      <c r="C672" s="475" t="s">
        <v>173</v>
      </c>
      <c r="D672" s="475" t="s">
        <v>120</v>
      </c>
      <c r="E672" s="475">
        <v>1000</v>
      </c>
      <c r="F672" s="463">
        <f t="shared" si="13"/>
        <v>1.7827155035636482</v>
      </c>
      <c r="G672" s="464">
        <v>560.94200000000001</v>
      </c>
      <c r="H672" s="475" t="s">
        <v>183</v>
      </c>
      <c r="I672" s="475" t="s">
        <v>3086</v>
      </c>
      <c r="J672" s="247" t="s">
        <v>97</v>
      </c>
      <c r="K672" s="247" t="s">
        <v>1903</v>
      </c>
      <c r="L672" s="247" t="s">
        <v>154</v>
      </c>
      <c r="M672" s="414"/>
      <c r="N672" s="414"/>
      <c r="O672" s="414"/>
    </row>
    <row r="673" spans="1:15">
      <c r="A673" s="474">
        <v>45929</v>
      </c>
      <c r="B673" s="339" t="s">
        <v>3083</v>
      </c>
      <c r="C673" s="339" t="s">
        <v>151</v>
      </c>
      <c r="D673" s="339" t="s">
        <v>2468</v>
      </c>
      <c r="E673" s="475">
        <v>10000</v>
      </c>
      <c r="F673" s="463">
        <f t="shared" si="13"/>
        <v>17.827155035636483</v>
      </c>
      <c r="G673" s="464">
        <v>560.94200000000001</v>
      </c>
      <c r="H673" s="475" t="s">
        <v>183</v>
      </c>
      <c r="I673" s="475" t="s">
        <v>3107</v>
      </c>
      <c r="J673" s="247" t="s">
        <v>97</v>
      </c>
      <c r="K673" s="247" t="s">
        <v>1903</v>
      </c>
      <c r="L673" s="247" t="s">
        <v>154</v>
      </c>
      <c r="M673" s="335"/>
      <c r="N673" s="335"/>
      <c r="O673" s="335"/>
    </row>
    <row r="674" spans="1:15">
      <c r="A674" s="476">
        <v>45929</v>
      </c>
      <c r="B674" s="469" t="s">
        <v>3183</v>
      </c>
      <c r="C674" s="469" t="s">
        <v>173</v>
      </c>
      <c r="D674" s="469" t="s">
        <v>120</v>
      </c>
      <c r="E674" s="469">
        <v>1000</v>
      </c>
      <c r="F674" s="463">
        <f t="shared" si="13"/>
        <v>1.7827155035636482</v>
      </c>
      <c r="G674" s="464">
        <v>560.94200000000001</v>
      </c>
      <c r="H674" s="469" t="s">
        <v>174</v>
      </c>
      <c r="I674" s="469" t="s">
        <v>3196</v>
      </c>
      <c r="J674" s="247" t="s">
        <v>97</v>
      </c>
      <c r="K674" s="247" t="s">
        <v>1903</v>
      </c>
      <c r="L674" s="247" t="s">
        <v>154</v>
      </c>
      <c r="M674" s="335"/>
      <c r="N674" s="335"/>
      <c r="O674" s="335"/>
    </row>
    <row r="675" spans="1:15">
      <c r="A675" s="476">
        <v>45929</v>
      </c>
      <c r="B675" s="469" t="s">
        <v>3184</v>
      </c>
      <c r="C675" s="469" t="s">
        <v>173</v>
      </c>
      <c r="D675" s="469" t="s">
        <v>120</v>
      </c>
      <c r="E675" s="469">
        <v>1000</v>
      </c>
      <c r="F675" s="463">
        <f t="shared" si="13"/>
        <v>1.7827155035636482</v>
      </c>
      <c r="G675" s="464">
        <v>560.94200000000001</v>
      </c>
      <c r="H675" s="469" t="s">
        <v>174</v>
      </c>
      <c r="I675" s="469" t="s">
        <v>3196</v>
      </c>
      <c r="J675" s="247" t="s">
        <v>97</v>
      </c>
      <c r="K675" s="247" t="s">
        <v>1903</v>
      </c>
      <c r="L675" s="247" t="s">
        <v>154</v>
      </c>
      <c r="M675" s="335"/>
      <c r="N675" s="335"/>
      <c r="O675" s="335"/>
    </row>
    <row r="676" spans="1:15">
      <c r="A676" s="476">
        <v>45929</v>
      </c>
      <c r="B676" s="469" t="s">
        <v>3185</v>
      </c>
      <c r="C676" s="469" t="s">
        <v>173</v>
      </c>
      <c r="D676" s="469" t="s">
        <v>120</v>
      </c>
      <c r="E676" s="469">
        <v>1000</v>
      </c>
      <c r="F676" s="463">
        <f t="shared" si="13"/>
        <v>1.7827155035636482</v>
      </c>
      <c r="G676" s="464">
        <v>560.94200000000001</v>
      </c>
      <c r="H676" s="469" t="s">
        <v>174</v>
      </c>
      <c r="I676" s="469" t="s">
        <v>3196</v>
      </c>
      <c r="J676" s="247" t="s">
        <v>97</v>
      </c>
      <c r="K676" s="247" t="s">
        <v>1903</v>
      </c>
      <c r="L676" s="247" t="s">
        <v>154</v>
      </c>
      <c r="M676" s="335"/>
      <c r="N676" s="335"/>
      <c r="O676" s="335"/>
    </row>
    <row r="677" spans="1:15">
      <c r="A677" s="476">
        <v>45929</v>
      </c>
      <c r="B677" s="469" t="s">
        <v>3186</v>
      </c>
      <c r="C677" s="469" t="s">
        <v>173</v>
      </c>
      <c r="D677" s="469" t="s">
        <v>120</v>
      </c>
      <c r="E677" s="469">
        <v>1000</v>
      </c>
      <c r="F677" s="463">
        <f t="shared" si="13"/>
        <v>1.7827155035636482</v>
      </c>
      <c r="G677" s="464">
        <v>560.94200000000001</v>
      </c>
      <c r="H677" s="469" t="s">
        <v>174</v>
      </c>
      <c r="I677" s="469" t="s">
        <v>3196</v>
      </c>
      <c r="J677" s="247" t="s">
        <v>97</v>
      </c>
      <c r="K677" s="247" t="s">
        <v>1903</v>
      </c>
      <c r="L677" s="247" t="s">
        <v>154</v>
      </c>
      <c r="M677" s="335"/>
      <c r="N677" s="335"/>
      <c r="O677" s="335"/>
    </row>
    <row r="678" spans="1:15">
      <c r="A678" s="476">
        <v>45929</v>
      </c>
      <c r="B678" s="469" t="s">
        <v>3187</v>
      </c>
      <c r="C678" s="469" t="s">
        <v>173</v>
      </c>
      <c r="D678" s="469" t="s">
        <v>120</v>
      </c>
      <c r="E678" s="469">
        <v>1000</v>
      </c>
      <c r="F678" s="463">
        <f t="shared" si="13"/>
        <v>1.7827155035636482</v>
      </c>
      <c r="G678" s="464">
        <v>560.94200000000001</v>
      </c>
      <c r="H678" s="469" t="s">
        <v>174</v>
      </c>
      <c r="I678" s="469" t="s">
        <v>3196</v>
      </c>
      <c r="J678" s="247" t="s">
        <v>97</v>
      </c>
      <c r="K678" s="247" t="s">
        <v>1903</v>
      </c>
      <c r="L678" s="247" t="s">
        <v>154</v>
      </c>
      <c r="M678" s="179"/>
      <c r="N678" s="179"/>
      <c r="O678" s="335"/>
    </row>
    <row r="679" spans="1:15" s="333" customFormat="1">
      <c r="A679" s="471">
        <v>45929</v>
      </c>
      <c r="B679" s="247" t="s">
        <v>3188</v>
      </c>
      <c r="C679" s="247" t="s">
        <v>368</v>
      </c>
      <c r="D679" s="247" t="s">
        <v>120</v>
      </c>
      <c r="E679" s="247">
        <v>12500</v>
      </c>
      <c r="F679" s="463">
        <f t="shared" si="13"/>
        <v>22.283943794545603</v>
      </c>
      <c r="G679" s="464">
        <v>560.94200000000001</v>
      </c>
      <c r="H679" s="247" t="s">
        <v>174</v>
      </c>
      <c r="I679" s="247" t="s">
        <v>3201</v>
      </c>
      <c r="J679" s="247" t="s">
        <v>97</v>
      </c>
      <c r="K679" s="247" t="s">
        <v>1903</v>
      </c>
      <c r="L679" s="247" t="s">
        <v>154</v>
      </c>
      <c r="M679" s="335"/>
      <c r="N679" s="335"/>
      <c r="O679" s="335"/>
    </row>
    <row r="680" spans="1:15">
      <c r="A680" s="476">
        <v>45929</v>
      </c>
      <c r="B680" s="339" t="s">
        <v>3189</v>
      </c>
      <c r="C680" s="339" t="s">
        <v>151</v>
      </c>
      <c r="D680" s="469" t="s">
        <v>120</v>
      </c>
      <c r="E680" s="469">
        <v>10000</v>
      </c>
      <c r="F680" s="463">
        <f t="shared" si="13"/>
        <v>17.827155035636483</v>
      </c>
      <c r="G680" s="464">
        <v>560.94200000000001</v>
      </c>
      <c r="H680" s="469" t="s">
        <v>174</v>
      </c>
      <c r="I680" s="469" t="s">
        <v>3215</v>
      </c>
      <c r="J680" s="247" t="s">
        <v>97</v>
      </c>
      <c r="K680" s="247" t="s">
        <v>1903</v>
      </c>
      <c r="L680" s="247" t="s">
        <v>154</v>
      </c>
      <c r="M680" s="414"/>
      <c r="N680" s="414"/>
      <c r="O680" s="414"/>
    </row>
    <row r="681" spans="1:15">
      <c r="A681" s="476">
        <v>45929</v>
      </c>
      <c r="B681" s="469" t="s">
        <v>3257</v>
      </c>
      <c r="C681" s="469" t="s">
        <v>151</v>
      </c>
      <c r="D681" s="469" t="s">
        <v>120</v>
      </c>
      <c r="E681" s="469">
        <v>10000</v>
      </c>
      <c r="F681" s="463">
        <f t="shared" si="13"/>
        <v>17.827155035636483</v>
      </c>
      <c r="G681" s="464">
        <v>560.94200000000001</v>
      </c>
      <c r="H681" s="469" t="s">
        <v>316</v>
      </c>
      <c r="I681" s="247" t="s">
        <v>3609</v>
      </c>
      <c r="J681" s="247" t="s">
        <v>97</v>
      </c>
      <c r="K681" s="247" t="s">
        <v>1903</v>
      </c>
      <c r="L681" s="247" t="s">
        <v>154</v>
      </c>
      <c r="M681" s="335"/>
      <c r="N681" s="335"/>
      <c r="O681" s="335"/>
    </row>
    <row r="682" spans="1:15">
      <c r="A682" s="476">
        <v>45929</v>
      </c>
      <c r="B682" s="469" t="s">
        <v>3297</v>
      </c>
      <c r="C682" s="469" t="s">
        <v>151</v>
      </c>
      <c r="D682" s="469" t="s">
        <v>120</v>
      </c>
      <c r="E682" s="472">
        <v>10000</v>
      </c>
      <c r="F682" s="463">
        <f t="shared" si="13"/>
        <v>17.827155035636483</v>
      </c>
      <c r="G682" s="464">
        <v>560.94200000000001</v>
      </c>
      <c r="H682" s="469" t="s">
        <v>322</v>
      </c>
      <c r="I682" s="469" t="s">
        <v>3304</v>
      </c>
      <c r="J682" s="247" t="s">
        <v>97</v>
      </c>
      <c r="K682" s="247" t="s">
        <v>1903</v>
      </c>
      <c r="L682" s="247" t="s">
        <v>154</v>
      </c>
      <c r="M682" s="335"/>
      <c r="N682" s="335"/>
      <c r="O682" s="335"/>
    </row>
    <row r="683" spans="1:15">
      <c r="A683" s="476">
        <v>45929</v>
      </c>
      <c r="B683" s="469" t="s">
        <v>3322</v>
      </c>
      <c r="C683" s="469" t="s">
        <v>151</v>
      </c>
      <c r="D683" s="469" t="s">
        <v>116</v>
      </c>
      <c r="E683" s="470">
        <v>7500</v>
      </c>
      <c r="F683" s="463">
        <f t="shared" si="13"/>
        <v>13.370366276727362</v>
      </c>
      <c r="G683" s="464">
        <v>560.94200000000001</v>
      </c>
      <c r="H683" s="469" t="s">
        <v>189</v>
      </c>
      <c r="I683" s="247" t="s">
        <v>3332</v>
      </c>
      <c r="J683" s="247" t="s">
        <v>97</v>
      </c>
      <c r="K683" s="247" t="s">
        <v>1903</v>
      </c>
      <c r="L683" s="247" t="s">
        <v>154</v>
      </c>
      <c r="M683" s="335"/>
      <c r="N683" s="127"/>
      <c r="O683" s="127"/>
    </row>
    <row r="684" spans="1:15">
      <c r="A684" s="471">
        <v>45929</v>
      </c>
      <c r="B684" s="469" t="s">
        <v>3359</v>
      </c>
      <c r="C684" s="469" t="s">
        <v>151</v>
      </c>
      <c r="D684" s="247" t="s">
        <v>116</v>
      </c>
      <c r="E684" s="468">
        <v>7500</v>
      </c>
      <c r="F684" s="463">
        <f t="shared" si="13"/>
        <v>13.370366276727362</v>
      </c>
      <c r="G684" s="464">
        <v>560.94200000000001</v>
      </c>
      <c r="H684" s="247" t="s">
        <v>192</v>
      </c>
      <c r="I684" s="469" t="s">
        <v>3373</v>
      </c>
      <c r="J684" s="247" t="s">
        <v>97</v>
      </c>
      <c r="K684" s="247" t="s">
        <v>1903</v>
      </c>
      <c r="L684" s="247" t="s">
        <v>154</v>
      </c>
      <c r="M684" s="414"/>
      <c r="N684" s="76"/>
      <c r="O684" s="76"/>
    </row>
    <row r="685" spans="1:15">
      <c r="A685" s="461">
        <v>45929</v>
      </c>
      <c r="B685" s="469" t="s">
        <v>3407</v>
      </c>
      <c r="C685" s="243" t="s">
        <v>195</v>
      </c>
      <c r="D685" s="243" t="s">
        <v>116</v>
      </c>
      <c r="E685" s="478">
        <v>1000</v>
      </c>
      <c r="F685" s="463">
        <f t="shared" si="13"/>
        <v>1.7827155035636482</v>
      </c>
      <c r="G685" s="464">
        <v>560.94200000000001</v>
      </c>
      <c r="H685" s="360" t="s">
        <v>437</v>
      </c>
      <c r="I685" s="469" t="s">
        <v>3411</v>
      </c>
      <c r="J685" s="247" t="s">
        <v>97</v>
      </c>
      <c r="K685" s="247" t="s">
        <v>1903</v>
      </c>
      <c r="L685" s="247" t="s">
        <v>154</v>
      </c>
      <c r="M685" s="414"/>
      <c r="N685" s="76"/>
      <c r="O685" s="76"/>
    </row>
    <row r="686" spans="1:15">
      <c r="A686" s="461">
        <v>45929</v>
      </c>
      <c r="B686" s="247" t="s">
        <v>3408</v>
      </c>
      <c r="C686" s="243" t="s">
        <v>151</v>
      </c>
      <c r="D686" s="243" t="s">
        <v>116</v>
      </c>
      <c r="E686" s="478">
        <v>10000</v>
      </c>
      <c r="F686" s="463">
        <f t="shared" si="13"/>
        <v>17.827155035636483</v>
      </c>
      <c r="G686" s="464">
        <v>560.94200000000001</v>
      </c>
      <c r="H686" s="360" t="s">
        <v>437</v>
      </c>
      <c r="I686" s="469" t="s">
        <v>3426</v>
      </c>
      <c r="J686" s="247" t="s">
        <v>97</v>
      </c>
      <c r="K686" s="247" t="s">
        <v>1903</v>
      </c>
      <c r="L686" s="247" t="s">
        <v>154</v>
      </c>
      <c r="M686" s="414"/>
      <c r="N686" s="76"/>
      <c r="O686" s="76"/>
    </row>
    <row r="687" spans="1:15">
      <c r="A687" s="461">
        <v>45929</v>
      </c>
      <c r="B687" s="469" t="s">
        <v>3409</v>
      </c>
      <c r="C687" s="243" t="s">
        <v>195</v>
      </c>
      <c r="D687" s="243" t="s">
        <v>116</v>
      </c>
      <c r="E687" s="478">
        <v>1000</v>
      </c>
      <c r="F687" s="463">
        <f t="shared" si="13"/>
        <v>1.7827155035636482</v>
      </c>
      <c r="G687" s="464">
        <v>560.94200000000001</v>
      </c>
      <c r="H687" s="360" t="s">
        <v>437</v>
      </c>
      <c r="I687" s="469" t="s">
        <v>3411</v>
      </c>
      <c r="J687" s="247" t="s">
        <v>97</v>
      </c>
      <c r="K687" s="247" t="s">
        <v>1903</v>
      </c>
      <c r="L687" s="247" t="s">
        <v>154</v>
      </c>
      <c r="M687" s="414"/>
      <c r="N687" s="76"/>
      <c r="O687" s="76"/>
    </row>
    <row r="688" spans="1:15">
      <c r="A688" s="461">
        <v>45929</v>
      </c>
      <c r="B688" s="247" t="s">
        <v>3410</v>
      </c>
      <c r="C688" s="247" t="s">
        <v>176</v>
      </c>
      <c r="D688" s="247" t="s">
        <v>116</v>
      </c>
      <c r="E688" s="478">
        <v>60000</v>
      </c>
      <c r="F688" s="463">
        <f t="shared" si="13"/>
        <v>106.96293021381889</v>
      </c>
      <c r="G688" s="464">
        <v>560.94200000000001</v>
      </c>
      <c r="H688" s="360" t="s">
        <v>437</v>
      </c>
      <c r="I688" s="469" t="s">
        <v>3427</v>
      </c>
      <c r="J688" s="247" t="s">
        <v>97</v>
      </c>
      <c r="K688" s="247" t="s">
        <v>1903</v>
      </c>
      <c r="L688" s="247" t="s">
        <v>154</v>
      </c>
      <c r="M688" s="414"/>
      <c r="N688" s="76"/>
      <c r="O688" s="76"/>
    </row>
    <row r="689" spans="1:15">
      <c r="A689" s="476">
        <v>45929</v>
      </c>
      <c r="B689" s="469" t="s">
        <v>3466</v>
      </c>
      <c r="C689" s="469" t="s">
        <v>173</v>
      </c>
      <c r="D689" s="469" t="s">
        <v>119</v>
      </c>
      <c r="E689" s="472">
        <v>1000</v>
      </c>
      <c r="F689" s="463">
        <f t="shared" ref="F689:F710" si="14">E689/G689</f>
        <v>1.7827155035636482</v>
      </c>
      <c r="G689" s="464">
        <v>560.94200000000001</v>
      </c>
      <c r="H689" s="469" t="s">
        <v>212</v>
      </c>
      <c r="I689" s="469" t="s">
        <v>3470</v>
      </c>
      <c r="J689" s="247" t="s">
        <v>97</v>
      </c>
      <c r="K689" s="247" t="s">
        <v>1903</v>
      </c>
      <c r="L689" s="247" t="s">
        <v>154</v>
      </c>
      <c r="M689" s="414"/>
      <c r="N689" s="76"/>
      <c r="O689" s="76"/>
    </row>
    <row r="690" spans="1:15">
      <c r="A690" s="476">
        <v>45929</v>
      </c>
      <c r="B690" s="247" t="s">
        <v>3467</v>
      </c>
      <c r="C690" s="243" t="s">
        <v>151</v>
      </c>
      <c r="D690" s="469" t="s">
        <v>119</v>
      </c>
      <c r="E690" s="472">
        <v>10000</v>
      </c>
      <c r="F690" s="463">
        <f t="shared" si="14"/>
        <v>17.827155035636483</v>
      </c>
      <c r="G690" s="464">
        <v>560.94200000000001</v>
      </c>
      <c r="H690" s="469" t="s">
        <v>212</v>
      </c>
      <c r="I690" s="469" t="s">
        <v>3484</v>
      </c>
      <c r="J690" s="247" t="s">
        <v>97</v>
      </c>
      <c r="K690" s="247" t="s">
        <v>1903</v>
      </c>
      <c r="L690" s="247" t="s">
        <v>154</v>
      </c>
      <c r="M690" s="414"/>
      <c r="N690" s="76"/>
      <c r="O690" s="76"/>
    </row>
    <row r="691" spans="1:15">
      <c r="A691" s="476">
        <v>45929</v>
      </c>
      <c r="B691" s="469" t="s">
        <v>3622</v>
      </c>
      <c r="C691" s="469" t="s">
        <v>176</v>
      </c>
      <c r="D691" s="469" t="s">
        <v>119</v>
      </c>
      <c r="E691" s="472">
        <v>60000</v>
      </c>
      <c r="F691" s="463">
        <f t="shared" si="14"/>
        <v>106.96293021381889</v>
      </c>
      <c r="G691" s="464">
        <v>560.94200000000001</v>
      </c>
      <c r="H691" s="469" t="s">
        <v>212</v>
      </c>
      <c r="I691" s="469" t="s">
        <v>3485</v>
      </c>
      <c r="J691" s="247" t="s">
        <v>97</v>
      </c>
      <c r="K691" s="247" t="s">
        <v>1903</v>
      </c>
      <c r="L691" s="247" t="s">
        <v>154</v>
      </c>
      <c r="M691" s="414"/>
      <c r="N691" s="76"/>
      <c r="O691" s="76"/>
    </row>
    <row r="692" spans="1:15">
      <c r="A692" s="476">
        <v>45929</v>
      </c>
      <c r="B692" s="469" t="s">
        <v>3500</v>
      </c>
      <c r="C692" s="469" t="s">
        <v>173</v>
      </c>
      <c r="D692" s="469" t="s">
        <v>116</v>
      </c>
      <c r="E692" s="469">
        <v>1500</v>
      </c>
      <c r="F692" s="463">
        <f t="shared" si="14"/>
        <v>2.6740732553454722</v>
      </c>
      <c r="G692" s="464">
        <v>560.94200000000001</v>
      </c>
      <c r="H692" s="469" t="s">
        <v>186</v>
      </c>
      <c r="I692" s="469" t="s">
        <v>3504</v>
      </c>
      <c r="J692" s="247" t="s">
        <v>97</v>
      </c>
      <c r="K692" s="247" t="s">
        <v>1903</v>
      </c>
      <c r="L692" s="247" t="s">
        <v>154</v>
      </c>
      <c r="M692" s="414"/>
      <c r="N692" s="76"/>
      <c r="O692" s="76"/>
    </row>
    <row r="693" spans="1:15">
      <c r="A693" s="476">
        <v>45929</v>
      </c>
      <c r="B693" s="469" t="s">
        <v>3501</v>
      </c>
      <c r="C693" s="469" t="s">
        <v>173</v>
      </c>
      <c r="D693" s="469" t="s">
        <v>116</v>
      </c>
      <c r="E693" s="469">
        <v>1500</v>
      </c>
      <c r="F693" s="463">
        <f t="shared" si="14"/>
        <v>2.6740732553454722</v>
      </c>
      <c r="G693" s="464">
        <v>560.94200000000001</v>
      </c>
      <c r="H693" s="469" t="s">
        <v>186</v>
      </c>
      <c r="I693" s="469" t="s">
        <v>3504</v>
      </c>
      <c r="J693" s="247" t="s">
        <v>97</v>
      </c>
      <c r="K693" s="247" t="s">
        <v>1903</v>
      </c>
      <c r="L693" s="247" t="s">
        <v>154</v>
      </c>
      <c r="M693" s="414"/>
      <c r="N693" s="76"/>
      <c r="O693" s="76"/>
    </row>
    <row r="694" spans="1:15">
      <c r="A694" s="471">
        <v>45929</v>
      </c>
      <c r="B694" s="469" t="s">
        <v>3315</v>
      </c>
      <c r="C694" s="469" t="s">
        <v>171</v>
      </c>
      <c r="D694" s="469" t="s">
        <v>117</v>
      </c>
      <c r="E694" s="468">
        <v>15625</v>
      </c>
      <c r="F694" s="463">
        <f t="shared" si="14"/>
        <v>27.854929743182005</v>
      </c>
      <c r="G694" s="464">
        <v>560.94200000000001</v>
      </c>
      <c r="H694" s="247" t="s">
        <v>186</v>
      </c>
      <c r="I694" s="247" t="s">
        <v>3513</v>
      </c>
      <c r="J694" s="247" t="s">
        <v>97</v>
      </c>
      <c r="K694" s="247" t="s">
        <v>1903</v>
      </c>
      <c r="L694" s="247" t="s">
        <v>154</v>
      </c>
      <c r="M694" s="414"/>
      <c r="N694" s="76"/>
      <c r="O694" s="76"/>
    </row>
    <row r="695" spans="1:15">
      <c r="A695" s="476">
        <v>45929</v>
      </c>
      <c r="B695" s="469" t="s">
        <v>3502</v>
      </c>
      <c r="C695" s="469" t="s">
        <v>151</v>
      </c>
      <c r="D695" s="469" t="s">
        <v>116</v>
      </c>
      <c r="E695" s="469">
        <v>7500</v>
      </c>
      <c r="F695" s="463">
        <f t="shared" si="14"/>
        <v>13.370366276727362</v>
      </c>
      <c r="G695" s="464">
        <v>560.94200000000001</v>
      </c>
      <c r="H695" s="469" t="s">
        <v>186</v>
      </c>
      <c r="I695" s="469" t="s">
        <v>3514</v>
      </c>
      <c r="J695" s="247" t="s">
        <v>97</v>
      </c>
      <c r="K695" s="247" t="s">
        <v>1903</v>
      </c>
      <c r="L695" s="247" t="s">
        <v>154</v>
      </c>
      <c r="M695" s="414"/>
      <c r="N695" s="76"/>
      <c r="O695" s="76"/>
    </row>
    <row r="696" spans="1:15">
      <c r="A696" s="476">
        <v>45929</v>
      </c>
      <c r="B696" s="487" t="s">
        <v>3587</v>
      </c>
      <c r="C696" s="247" t="s">
        <v>124</v>
      </c>
      <c r="D696" s="486"/>
      <c r="E696" s="468"/>
      <c r="F696" s="463">
        <f t="shared" si="14"/>
        <v>0</v>
      </c>
      <c r="G696" s="464">
        <f>6402038/12000</f>
        <v>533.50316666666663</v>
      </c>
      <c r="H696" s="469" t="s">
        <v>147</v>
      </c>
      <c r="I696" s="247" t="s">
        <v>3602</v>
      </c>
      <c r="J696" s="247" t="s">
        <v>97</v>
      </c>
      <c r="K696" s="247" t="s">
        <v>1903</v>
      </c>
      <c r="L696" s="247" t="s">
        <v>154</v>
      </c>
      <c r="M696" s="369">
        <v>266752</v>
      </c>
      <c r="N696" s="76">
        <v>500</v>
      </c>
      <c r="O696" s="76"/>
    </row>
    <row r="697" spans="1:15">
      <c r="A697" s="476">
        <v>45929</v>
      </c>
      <c r="B697" s="487" t="s">
        <v>3588</v>
      </c>
      <c r="C697" s="247" t="s">
        <v>124</v>
      </c>
      <c r="D697" s="489"/>
      <c r="E697" s="468"/>
      <c r="F697" s="463">
        <f t="shared" si="14"/>
        <v>0</v>
      </c>
      <c r="G697" s="464">
        <f>+M697/5500</f>
        <v>533.50309090909093</v>
      </c>
      <c r="H697" s="469" t="s">
        <v>147</v>
      </c>
      <c r="I697" s="247" t="s">
        <v>3603</v>
      </c>
      <c r="J697" s="247" t="s">
        <v>97</v>
      </c>
      <c r="K697" s="247" t="s">
        <v>2099</v>
      </c>
      <c r="L697" s="247" t="s">
        <v>154</v>
      </c>
      <c r="M697" s="514">
        <v>2934267</v>
      </c>
      <c r="N697" s="76">
        <v>5500</v>
      </c>
      <c r="O697" s="76"/>
    </row>
    <row r="698" spans="1:15">
      <c r="A698" s="476">
        <v>45929</v>
      </c>
      <c r="B698" s="487" t="s">
        <v>3589</v>
      </c>
      <c r="C698" s="247" t="s">
        <v>124</v>
      </c>
      <c r="D698" s="489"/>
      <c r="E698" s="470"/>
      <c r="F698" s="463">
        <f t="shared" si="14"/>
        <v>0</v>
      </c>
      <c r="G698" s="464">
        <f>+M698/6000</f>
        <v>533.50316666666663</v>
      </c>
      <c r="H698" s="469" t="s">
        <v>147</v>
      </c>
      <c r="I698" s="247" t="s">
        <v>3604</v>
      </c>
      <c r="J698" s="247" t="s">
        <v>97</v>
      </c>
      <c r="K698" s="247" t="s">
        <v>1133</v>
      </c>
      <c r="L698" s="247" t="s">
        <v>154</v>
      </c>
      <c r="M698" s="514">
        <v>3201019</v>
      </c>
      <c r="N698" s="76">
        <v>6000</v>
      </c>
      <c r="O698" s="76"/>
    </row>
    <row r="699" spans="1:15">
      <c r="A699" s="467">
        <v>45930</v>
      </c>
      <c r="B699" s="469" t="s">
        <v>2942</v>
      </c>
      <c r="C699" s="469" t="s">
        <v>173</v>
      </c>
      <c r="D699" s="469" t="s">
        <v>117</v>
      </c>
      <c r="E699" s="470">
        <v>1000</v>
      </c>
      <c r="F699" s="463">
        <f t="shared" si="14"/>
        <v>1.7827155035636482</v>
      </c>
      <c r="G699" s="464">
        <v>560.94200000000001</v>
      </c>
      <c r="H699" s="469" t="s">
        <v>583</v>
      </c>
      <c r="I699" s="469" t="s">
        <v>2970</v>
      </c>
      <c r="J699" s="247" t="s">
        <v>97</v>
      </c>
      <c r="K699" s="247" t="s">
        <v>1903</v>
      </c>
      <c r="L699" s="247" t="s">
        <v>154</v>
      </c>
      <c r="M699" s="414"/>
      <c r="N699" s="414"/>
      <c r="O699" s="414"/>
    </row>
    <row r="700" spans="1:15">
      <c r="A700" s="467">
        <v>45930</v>
      </c>
      <c r="B700" s="469" t="s">
        <v>2964</v>
      </c>
      <c r="C700" s="469" t="s">
        <v>173</v>
      </c>
      <c r="D700" s="469" t="s">
        <v>117</v>
      </c>
      <c r="E700" s="470">
        <v>500</v>
      </c>
      <c r="F700" s="463">
        <f t="shared" si="14"/>
        <v>0.89135775178182408</v>
      </c>
      <c r="G700" s="464">
        <v>560.94200000000001</v>
      </c>
      <c r="H700" s="469" t="s">
        <v>583</v>
      </c>
      <c r="I700" s="469" t="s">
        <v>2970</v>
      </c>
      <c r="J700" s="247" t="s">
        <v>97</v>
      </c>
      <c r="K700" s="247" t="s">
        <v>1903</v>
      </c>
      <c r="L700" s="247" t="s">
        <v>154</v>
      </c>
      <c r="M700" s="414"/>
      <c r="N700" s="414"/>
      <c r="O700" s="414"/>
    </row>
    <row r="701" spans="1:15">
      <c r="A701" s="467">
        <v>45930</v>
      </c>
      <c r="B701" s="469" t="s">
        <v>2965</v>
      </c>
      <c r="C701" s="469" t="s">
        <v>173</v>
      </c>
      <c r="D701" s="469" t="s">
        <v>117</v>
      </c>
      <c r="E701" s="470">
        <v>1000</v>
      </c>
      <c r="F701" s="463">
        <f t="shared" si="14"/>
        <v>1.7827155035636482</v>
      </c>
      <c r="G701" s="464">
        <v>560.94200000000001</v>
      </c>
      <c r="H701" s="469" t="s">
        <v>583</v>
      </c>
      <c r="I701" s="469" t="s">
        <v>2970</v>
      </c>
      <c r="J701" s="247" t="s">
        <v>97</v>
      </c>
      <c r="K701" s="247" t="s">
        <v>1903</v>
      </c>
      <c r="L701" s="247" t="s">
        <v>154</v>
      </c>
      <c r="M701" s="414"/>
      <c r="N701" s="414"/>
      <c r="O701" s="414"/>
    </row>
    <row r="702" spans="1:15">
      <c r="A702" s="467">
        <v>45930</v>
      </c>
      <c r="B702" s="247" t="s">
        <v>2966</v>
      </c>
      <c r="C702" s="247" t="s">
        <v>173</v>
      </c>
      <c r="D702" s="247" t="s">
        <v>117</v>
      </c>
      <c r="E702" s="468">
        <v>1000</v>
      </c>
      <c r="F702" s="463">
        <f t="shared" si="14"/>
        <v>1.7827155035636482</v>
      </c>
      <c r="G702" s="464">
        <v>560.94200000000001</v>
      </c>
      <c r="H702" s="469" t="s">
        <v>583</v>
      </c>
      <c r="I702" s="469" t="s">
        <v>2970</v>
      </c>
      <c r="J702" s="247" t="s">
        <v>97</v>
      </c>
      <c r="K702" s="247" t="s">
        <v>1903</v>
      </c>
      <c r="L702" s="247" t="s">
        <v>154</v>
      </c>
      <c r="M702" s="335"/>
      <c r="N702" s="335"/>
      <c r="O702" s="335"/>
    </row>
    <row r="703" spans="1:15">
      <c r="A703" s="471">
        <v>45930</v>
      </c>
      <c r="B703" s="247" t="s">
        <v>2967</v>
      </c>
      <c r="C703" s="469" t="s">
        <v>181</v>
      </c>
      <c r="D703" s="469" t="s">
        <v>117</v>
      </c>
      <c r="E703" s="468">
        <v>122074</v>
      </c>
      <c r="F703" s="463">
        <f t="shared" si="14"/>
        <v>217.62321238202881</v>
      </c>
      <c r="G703" s="464">
        <v>560.94200000000001</v>
      </c>
      <c r="H703" s="247" t="s">
        <v>583</v>
      </c>
      <c r="I703" s="247" t="s">
        <v>2985</v>
      </c>
      <c r="J703" s="247" t="s">
        <v>97</v>
      </c>
      <c r="K703" s="247" t="s">
        <v>1903</v>
      </c>
      <c r="L703" s="247" t="s">
        <v>154</v>
      </c>
      <c r="M703" s="414"/>
      <c r="N703" s="414"/>
      <c r="O703" s="414"/>
    </row>
    <row r="704" spans="1:15">
      <c r="A704" s="471">
        <v>45930</v>
      </c>
      <c r="B704" s="247" t="s">
        <v>2968</v>
      </c>
      <c r="C704" s="488" t="s">
        <v>626</v>
      </c>
      <c r="D704" s="469" t="s">
        <v>117</v>
      </c>
      <c r="E704" s="468">
        <v>45050</v>
      </c>
      <c r="F704" s="463">
        <f t="shared" si="14"/>
        <v>80.311333435542352</v>
      </c>
      <c r="G704" s="464">
        <v>560.94200000000001</v>
      </c>
      <c r="H704" s="247" t="s">
        <v>583</v>
      </c>
      <c r="I704" s="247" t="s">
        <v>2986</v>
      </c>
      <c r="J704" s="247" t="s">
        <v>97</v>
      </c>
      <c r="K704" s="247" t="s">
        <v>1903</v>
      </c>
      <c r="L704" s="247" t="s">
        <v>154</v>
      </c>
      <c r="M704" s="414"/>
      <c r="N704" s="414"/>
      <c r="O704" s="414"/>
    </row>
    <row r="705" spans="1:15">
      <c r="A705" s="467">
        <v>45930</v>
      </c>
      <c r="B705" s="469" t="s">
        <v>2969</v>
      </c>
      <c r="C705" s="485" t="s">
        <v>173</v>
      </c>
      <c r="D705" s="485" t="s">
        <v>117</v>
      </c>
      <c r="E705" s="470">
        <v>1000</v>
      </c>
      <c r="F705" s="463">
        <f t="shared" si="14"/>
        <v>1.7827155035636482</v>
      </c>
      <c r="G705" s="464">
        <v>560.94200000000001</v>
      </c>
      <c r="H705" s="469" t="s">
        <v>583</v>
      </c>
      <c r="I705" s="469" t="s">
        <v>2970</v>
      </c>
      <c r="J705" s="247" t="s">
        <v>97</v>
      </c>
      <c r="K705" s="247" t="s">
        <v>1903</v>
      </c>
      <c r="L705" s="247" t="s">
        <v>154</v>
      </c>
      <c r="M705" s="414"/>
      <c r="N705" s="414"/>
      <c r="O705" s="414"/>
    </row>
    <row r="706" spans="1:15">
      <c r="A706" s="474">
        <v>45930</v>
      </c>
      <c r="B706" s="475" t="s">
        <v>3770</v>
      </c>
      <c r="C706" s="490" t="s">
        <v>176</v>
      </c>
      <c r="D706" s="475" t="s">
        <v>120</v>
      </c>
      <c r="E706" s="475">
        <v>390000</v>
      </c>
      <c r="F706" s="463">
        <f t="shared" si="14"/>
        <v>695.25904638982286</v>
      </c>
      <c r="G706" s="464">
        <v>560.94200000000001</v>
      </c>
      <c r="H706" s="475" t="s">
        <v>183</v>
      </c>
      <c r="I706" s="475" t="s">
        <v>3108</v>
      </c>
      <c r="J706" s="247" t="s">
        <v>97</v>
      </c>
      <c r="K706" s="247" t="s">
        <v>1903</v>
      </c>
      <c r="L706" s="247" t="s">
        <v>154</v>
      </c>
      <c r="M706" s="335"/>
      <c r="N706" s="335"/>
      <c r="O706" s="335"/>
    </row>
    <row r="707" spans="1:15">
      <c r="A707" s="474">
        <v>45930</v>
      </c>
      <c r="B707" s="475" t="s">
        <v>3084</v>
      </c>
      <c r="C707" s="490" t="s">
        <v>173</v>
      </c>
      <c r="D707" s="475" t="s">
        <v>120</v>
      </c>
      <c r="E707" s="475">
        <v>1000</v>
      </c>
      <c r="F707" s="463">
        <f t="shared" si="14"/>
        <v>1.7827155035636482</v>
      </c>
      <c r="G707" s="464">
        <v>560.94200000000001</v>
      </c>
      <c r="H707" s="475" t="s">
        <v>183</v>
      </c>
      <c r="I707" s="475" t="s">
        <v>3086</v>
      </c>
      <c r="J707" s="247" t="s">
        <v>97</v>
      </c>
      <c r="K707" s="247" t="s">
        <v>1903</v>
      </c>
      <c r="L707" s="247" t="s">
        <v>154</v>
      </c>
      <c r="M707" s="335"/>
      <c r="N707" s="335"/>
      <c r="O707" s="179"/>
    </row>
    <row r="708" spans="1:15">
      <c r="A708" s="474">
        <v>45930</v>
      </c>
      <c r="B708" s="475" t="s">
        <v>3082</v>
      </c>
      <c r="C708" s="490" t="s">
        <v>173</v>
      </c>
      <c r="D708" s="475" t="s">
        <v>120</v>
      </c>
      <c r="E708" s="475">
        <v>1000</v>
      </c>
      <c r="F708" s="463">
        <f t="shared" si="14"/>
        <v>1.7827155035636482</v>
      </c>
      <c r="G708" s="464">
        <v>560.94200000000001</v>
      </c>
      <c r="H708" s="475" t="s">
        <v>183</v>
      </c>
      <c r="I708" s="475" t="s">
        <v>3086</v>
      </c>
      <c r="J708" s="247" t="s">
        <v>97</v>
      </c>
      <c r="K708" s="247" t="s">
        <v>1903</v>
      </c>
      <c r="L708" s="247" t="s">
        <v>154</v>
      </c>
      <c r="M708" s="335"/>
      <c r="N708" s="335"/>
      <c r="O708" s="335"/>
    </row>
    <row r="709" spans="1:15">
      <c r="A709" s="476">
        <v>45930</v>
      </c>
      <c r="B709" s="469" t="s">
        <v>3190</v>
      </c>
      <c r="C709" s="485" t="s">
        <v>173</v>
      </c>
      <c r="D709" s="469" t="s">
        <v>120</v>
      </c>
      <c r="E709" s="485">
        <v>1000</v>
      </c>
      <c r="F709" s="463">
        <f t="shared" si="14"/>
        <v>1.7827155035636482</v>
      </c>
      <c r="G709" s="464">
        <v>560.94200000000001</v>
      </c>
      <c r="H709" s="469" t="s">
        <v>174</v>
      </c>
      <c r="I709" s="469" t="s">
        <v>3196</v>
      </c>
      <c r="J709" s="247" t="s">
        <v>97</v>
      </c>
      <c r="K709" s="247" t="s">
        <v>1903</v>
      </c>
      <c r="L709" s="247" t="s">
        <v>154</v>
      </c>
      <c r="M709" s="414"/>
      <c r="N709" s="414"/>
      <c r="O709" s="414"/>
    </row>
    <row r="710" spans="1:15">
      <c r="A710" s="476">
        <v>45930</v>
      </c>
      <c r="B710" s="469" t="s">
        <v>3191</v>
      </c>
      <c r="C710" s="485" t="s">
        <v>173</v>
      </c>
      <c r="D710" s="469" t="s">
        <v>120</v>
      </c>
      <c r="E710" s="469">
        <v>1000</v>
      </c>
      <c r="F710" s="463">
        <f t="shared" si="14"/>
        <v>1.7827155035636482</v>
      </c>
      <c r="G710" s="464">
        <v>560.94200000000001</v>
      </c>
      <c r="H710" s="469" t="s">
        <v>174</v>
      </c>
      <c r="I710" s="469" t="s">
        <v>3196</v>
      </c>
      <c r="J710" s="247" t="s">
        <v>97</v>
      </c>
      <c r="K710" s="247" t="s">
        <v>1903</v>
      </c>
      <c r="L710" s="247" t="s">
        <v>154</v>
      </c>
      <c r="M710" s="414"/>
      <c r="N710" s="414"/>
      <c r="O710" s="414"/>
    </row>
  </sheetData>
  <autoFilter ref="A1:O710">
    <sortState ref="A30:O688">
      <sortCondition ref="A1:A710"/>
    </sortState>
  </autoFilter>
  <phoneticPr fontId="29" type="noConversion"/>
  <dataValidations count="1">
    <dataValidation type="list" allowBlank="1" showInputMessage="1" showErrorMessage="1" sqref="C674:C701"/>
  </dataValidations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/>
  <dimension ref="A1:K919"/>
  <sheetViews>
    <sheetView topLeftCell="A614" zoomScale="85" zoomScaleNormal="85" workbookViewId="0">
      <selection activeCell="B600" sqref="B600"/>
    </sheetView>
  </sheetViews>
  <sheetFormatPr baseColWidth="10" defaultColWidth="8.69921875" defaultRowHeight="13.8"/>
  <cols>
    <col min="1" max="1" width="16.09765625" customWidth="1"/>
    <col min="2" max="2" width="78.69921875" customWidth="1"/>
    <col min="3" max="3" width="23.3984375" customWidth="1"/>
    <col min="4" max="7" width="17.09765625" style="71" customWidth="1"/>
    <col min="8" max="9" width="17.09765625" customWidth="1"/>
    <col min="10" max="10" width="13.69921875" customWidth="1"/>
  </cols>
  <sheetData>
    <row r="1" spans="1:11" ht="15.6">
      <c r="A1" s="135"/>
      <c r="B1" s="136"/>
      <c r="C1" s="137" t="s">
        <v>444</v>
      </c>
      <c r="D1" s="136"/>
      <c r="E1" s="138"/>
      <c r="F1" s="138"/>
      <c r="G1" s="138"/>
      <c r="H1" s="139"/>
      <c r="I1" s="136"/>
      <c r="J1" s="136"/>
      <c r="K1" s="136"/>
    </row>
    <row r="2" spans="1:11" ht="15.6">
      <c r="A2" s="135"/>
      <c r="B2" s="136"/>
      <c r="C2" s="136"/>
      <c r="D2" s="136"/>
      <c r="E2" s="138"/>
      <c r="F2" s="138"/>
      <c r="G2" s="138"/>
      <c r="H2" s="139"/>
      <c r="I2" s="136"/>
      <c r="J2" s="136"/>
      <c r="K2" s="136"/>
    </row>
    <row r="3" spans="1:11" ht="15.6">
      <c r="A3" s="140" t="s">
        <v>0</v>
      </c>
      <c r="B3" s="141" t="s">
        <v>445</v>
      </c>
      <c r="C3" s="141" t="s">
        <v>446</v>
      </c>
      <c r="D3" s="141" t="s">
        <v>447</v>
      </c>
      <c r="E3" s="142" t="s">
        <v>448</v>
      </c>
      <c r="F3" s="142" t="s">
        <v>449</v>
      </c>
      <c r="G3" s="142"/>
      <c r="H3" s="217" t="s">
        <v>30</v>
      </c>
      <c r="I3" s="141" t="s">
        <v>450</v>
      </c>
      <c r="J3" s="141" t="s">
        <v>451</v>
      </c>
      <c r="K3" s="143"/>
    </row>
    <row r="4" spans="1:11" ht="15.6">
      <c r="A4" s="172">
        <v>45901</v>
      </c>
      <c r="B4" s="229" t="s">
        <v>2878</v>
      </c>
      <c r="C4" s="179"/>
      <c r="D4" s="179"/>
      <c r="E4" s="182"/>
      <c r="F4" s="182"/>
      <c r="G4" s="182"/>
      <c r="H4" s="183">
        <v>11021</v>
      </c>
      <c r="I4" s="184" t="s">
        <v>152</v>
      </c>
      <c r="J4" s="179"/>
      <c r="K4" s="185"/>
    </row>
    <row r="5" spans="1:11" ht="15.6">
      <c r="A5" s="224">
        <v>45901</v>
      </c>
      <c r="B5" s="350" t="s">
        <v>2100</v>
      </c>
      <c r="C5" s="351" t="s">
        <v>173</v>
      </c>
      <c r="D5" s="352" t="s">
        <v>118</v>
      </c>
      <c r="E5" s="76"/>
      <c r="F5" s="350">
        <v>1000</v>
      </c>
      <c r="G5" s="182"/>
      <c r="H5" s="308">
        <f>H4+E5-F5</f>
        <v>10021</v>
      </c>
      <c r="I5" s="353" t="s">
        <v>152</v>
      </c>
      <c r="J5" s="76" t="s">
        <v>2868</v>
      </c>
      <c r="K5" s="185"/>
    </row>
    <row r="6" spans="1:11" ht="15.6">
      <c r="A6" s="224">
        <v>45901</v>
      </c>
      <c r="B6" s="350" t="s">
        <v>2101</v>
      </c>
      <c r="C6" s="351" t="s">
        <v>173</v>
      </c>
      <c r="D6" s="352" t="s">
        <v>118</v>
      </c>
      <c r="E6" s="76"/>
      <c r="F6" s="350">
        <v>1000</v>
      </c>
      <c r="G6" s="182"/>
      <c r="H6" s="308">
        <f t="shared" ref="H6:H69" si="0">H5+E6-F6</f>
        <v>9021</v>
      </c>
      <c r="I6" s="353" t="s">
        <v>152</v>
      </c>
      <c r="J6" s="76" t="s">
        <v>2868</v>
      </c>
      <c r="K6" s="185"/>
    </row>
    <row r="7" spans="1:11" ht="15.6">
      <c r="A7" s="224">
        <v>45901</v>
      </c>
      <c r="B7" s="350" t="s">
        <v>2847</v>
      </c>
      <c r="C7" s="351" t="s">
        <v>151</v>
      </c>
      <c r="D7" s="352" t="s">
        <v>118</v>
      </c>
      <c r="E7" s="76">
        <v>12500</v>
      </c>
      <c r="F7" s="350"/>
      <c r="G7" s="182"/>
      <c r="H7" s="308">
        <f t="shared" si="0"/>
        <v>21521</v>
      </c>
      <c r="I7" s="353" t="s">
        <v>152</v>
      </c>
      <c r="J7" s="76" t="s">
        <v>2869</v>
      </c>
      <c r="K7" s="185"/>
    </row>
    <row r="8" spans="1:11" ht="15.6">
      <c r="A8" s="224">
        <v>45901</v>
      </c>
      <c r="B8" s="350" t="s">
        <v>2847</v>
      </c>
      <c r="C8" s="351" t="s">
        <v>151</v>
      </c>
      <c r="D8" s="352" t="s">
        <v>118</v>
      </c>
      <c r="E8" s="76"/>
      <c r="F8" s="350">
        <v>12500</v>
      </c>
      <c r="G8" s="182"/>
      <c r="H8" s="308">
        <f t="shared" si="0"/>
        <v>9021</v>
      </c>
      <c r="I8" s="353" t="s">
        <v>152</v>
      </c>
      <c r="J8" s="76" t="s">
        <v>2869</v>
      </c>
      <c r="K8" s="185"/>
    </row>
    <row r="9" spans="1:11" ht="15.6">
      <c r="A9" s="224">
        <v>45902</v>
      </c>
      <c r="B9" s="350" t="s">
        <v>2104</v>
      </c>
      <c r="C9" s="351" t="s">
        <v>173</v>
      </c>
      <c r="D9" s="352" t="s">
        <v>118</v>
      </c>
      <c r="E9" s="76"/>
      <c r="F9" s="350">
        <v>1000</v>
      </c>
      <c r="G9" s="182"/>
      <c r="H9" s="308">
        <f t="shared" si="0"/>
        <v>8021</v>
      </c>
      <c r="I9" s="353" t="s">
        <v>152</v>
      </c>
      <c r="J9" s="76" t="s">
        <v>2868</v>
      </c>
      <c r="K9" s="185"/>
    </row>
    <row r="10" spans="1:11" ht="15.6">
      <c r="A10" s="224">
        <v>45902</v>
      </c>
      <c r="B10" s="350" t="s">
        <v>2110</v>
      </c>
      <c r="C10" s="351" t="s">
        <v>173</v>
      </c>
      <c r="D10" s="352" t="s">
        <v>118</v>
      </c>
      <c r="E10" s="76"/>
      <c r="F10" s="350">
        <v>1000</v>
      </c>
      <c r="G10" s="182"/>
      <c r="H10" s="308">
        <f t="shared" si="0"/>
        <v>7021</v>
      </c>
      <c r="I10" s="353" t="s">
        <v>152</v>
      </c>
      <c r="J10" s="76" t="s">
        <v>2868</v>
      </c>
      <c r="K10" s="185"/>
    </row>
    <row r="11" spans="1:11" ht="15.6">
      <c r="A11" s="224">
        <v>45902</v>
      </c>
      <c r="B11" s="350" t="s">
        <v>2101</v>
      </c>
      <c r="C11" s="351" t="s">
        <v>173</v>
      </c>
      <c r="D11" s="352" t="s">
        <v>118</v>
      </c>
      <c r="E11" s="76"/>
      <c r="F11" s="350">
        <v>1000</v>
      </c>
      <c r="G11" s="182"/>
      <c r="H11" s="308">
        <f t="shared" si="0"/>
        <v>6021</v>
      </c>
      <c r="I11" s="353" t="s">
        <v>152</v>
      </c>
      <c r="J11" s="76" t="s">
        <v>2868</v>
      </c>
      <c r="K11" s="185"/>
    </row>
    <row r="12" spans="1:11" ht="15.6">
      <c r="A12" s="224">
        <v>45903</v>
      </c>
      <c r="B12" s="350" t="s">
        <v>2100</v>
      </c>
      <c r="C12" s="351" t="s">
        <v>173</v>
      </c>
      <c r="D12" s="352" t="s">
        <v>118</v>
      </c>
      <c r="E12" s="76"/>
      <c r="F12" s="350">
        <v>1000</v>
      </c>
      <c r="G12" s="182"/>
      <c r="H12" s="308">
        <f t="shared" si="0"/>
        <v>5021</v>
      </c>
      <c r="I12" s="353" t="s">
        <v>152</v>
      </c>
      <c r="J12" s="76" t="s">
        <v>2868</v>
      </c>
      <c r="K12" s="185"/>
    </row>
    <row r="13" spans="1:11" ht="15.6">
      <c r="A13" s="224">
        <v>45903</v>
      </c>
      <c r="B13" s="350" t="s">
        <v>2113</v>
      </c>
      <c r="C13" s="351" t="s">
        <v>173</v>
      </c>
      <c r="D13" s="352" t="s">
        <v>118</v>
      </c>
      <c r="E13" s="76"/>
      <c r="F13" s="350">
        <v>1000</v>
      </c>
      <c r="G13" s="182"/>
      <c r="H13" s="308">
        <f t="shared" si="0"/>
        <v>4021</v>
      </c>
      <c r="I13" s="353" t="s">
        <v>152</v>
      </c>
      <c r="J13" s="76" t="s">
        <v>2868</v>
      </c>
      <c r="K13" s="185"/>
    </row>
    <row r="14" spans="1:11" ht="15.6">
      <c r="A14" s="224">
        <v>45904</v>
      </c>
      <c r="B14" s="350" t="s">
        <v>2100</v>
      </c>
      <c r="C14" s="351" t="s">
        <v>173</v>
      </c>
      <c r="D14" s="352" t="s">
        <v>118</v>
      </c>
      <c r="E14" s="76"/>
      <c r="F14" s="350">
        <v>1000</v>
      </c>
      <c r="G14" s="182"/>
      <c r="H14" s="308">
        <f t="shared" si="0"/>
        <v>3021</v>
      </c>
      <c r="I14" s="353" t="s">
        <v>152</v>
      </c>
      <c r="J14" s="76" t="s">
        <v>2868</v>
      </c>
      <c r="K14" s="185"/>
    </row>
    <row r="15" spans="1:11" ht="15.6">
      <c r="A15" s="224">
        <v>45904</v>
      </c>
      <c r="B15" s="350" t="s">
        <v>2101</v>
      </c>
      <c r="C15" s="351" t="s">
        <v>173</v>
      </c>
      <c r="D15" s="352" t="s">
        <v>118</v>
      </c>
      <c r="E15" s="76"/>
      <c r="F15" s="350">
        <v>1000</v>
      </c>
      <c r="G15" s="182"/>
      <c r="H15" s="308">
        <f t="shared" si="0"/>
        <v>2021</v>
      </c>
      <c r="I15" s="353" t="s">
        <v>152</v>
      </c>
      <c r="J15" s="76" t="s">
        <v>2868</v>
      </c>
      <c r="K15" s="185"/>
    </row>
    <row r="16" spans="1:11" ht="15.6">
      <c r="A16" s="224">
        <v>45905</v>
      </c>
      <c r="B16" s="350" t="s">
        <v>2100</v>
      </c>
      <c r="C16" s="351" t="s">
        <v>173</v>
      </c>
      <c r="D16" s="352" t="s">
        <v>118</v>
      </c>
      <c r="E16" s="76"/>
      <c r="F16" s="350">
        <v>1000</v>
      </c>
      <c r="G16" s="182"/>
      <c r="H16" s="308">
        <f t="shared" si="0"/>
        <v>1021</v>
      </c>
      <c r="I16" s="353" t="s">
        <v>152</v>
      </c>
      <c r="J16" s="76" t="s">
        <v>2868</v>
      </c>
      <c r="K16" s="185"/>
    </row>
    <row r="17" spans="1:11" ht="15.6">
      <c r="A17" s="224">
        <v>45905</v>
      </c>
      <c r="B17" s="350" t="s">
        <v>2848</v>
      </c>
      <c r="C17" s="351" t="s">
        <v>123</v>
      </c>
      <c r="D17" s="352" t="s">
        <v>118</v>
      </c>
      <c r="E17" s="76">
        <v>195000</v>
      </c>
      <c r="F17" s="76"/>
      <c r="G17" s="182"/>
      <c r="H17" s="308">
        <f t="shared" si="0"/>
        <v>196021</v>
      </c>
      <c r="I17" s="353" t="s">
        <v>152</v>
      </c>
      <c r="J17" s="76" t="s">
        <v>2870</v>
      </c>
      <c r="K17" s="185"/>
    </row>
    <row r="18" spans="1:11" ht="15.6">
      <c r="A18" s="224">
        <v>45905</v>
      </c>
      <c r="B18" s="350" t="s">
        <v>2101</v>
      </c>
      <c r="C18" s="351" t="s">
        <v>173</v>
      </c>
      <c r="D18" s="352" t="s">
        <v>118</v>
      </c>
      <c r="E18" s="76"/>
      <c r="F18" s="350">
        <v>1000</v>
      </c>
      <c r="G18" s="182"/>
      <c r="H18" s="308">
        <f t="shared" si="0"/>
        <v>195021</v>
      </c>
      <c r="I18" s="353" t="s">
        <v>152</v>
      </c>
      <c r="J18" s="76" t="s">
        <v>2868</v>
      </c>
      <c r="K18" s="185"/>
    </row>
    <row r="19" spans="1:11" ht="15.6">
      <c r="A19" s="224">
        <v>45907</v>
      </c>
      <c r="B19" s="350" t="s">
        <v>2849</v>
      </c>
      <c r="C19" s="351" t="s">
        <v>126</v>
      </c>
      <c r="D19" s="352" t="s">
        <v>118</v>
      </c>
      <c r="E19" s="76"/>
      <c r="F19" s="350">
        <v>174625</v>
      </c>
      <c r="G19" s="182"/>
      <c r="H19" s="308">
        <f t="shared" si="0"/>
        <v>20396</v>
      </c>
      <c r="I19" s="353" t="s">
        <v>152</v>
      </c>
      <c r="J19" s="76" t="s">
        <v>2871</v>
      </c>
      <c r="K19" s="185"/>
    </row>
    <row r="20" spans="1:11" ht="15.6">
      <c r="A20" s="224">
        <v>45907</v>
      </c>
      <c r="B20" s="350" t="s">
        <v>2100</v>
      </c>
      <c r="C20" s="351" t="s">
        <v>173</v>
      </c>
      <c r="D20" s="352" t="s">
        <v>118</v>
      </c>
      <c r="E20" s="76"/>
      <c r="F20" s="350">
        <v>1000</v>
      </c>
      <c r="G20" s="182"/>
      <c r="H20" s="308">
        <f t="shared" si="0"/>
        <v>19396</v>
      </c>
      <c r="I20" s="353" t="s">
        <v>152</v>
      </c>
      <c r="J20" s="76" t="s">
        <v>2868</v>
      </c>
      <c r="K20" s="185"/>
    </row>
    <row r="21" spans="1:11" ht="15.6">
      <c r="A21" s="224">
        <v>45907</v>
      </c>
      <c r="B21" s="350" t="s">
        <v>2101</v>
      </c>
      <c r="C21" s="351" t="s">
        <v>173</v>
      </c>
      <c r="D21" s="352" t="s">
        <v>118</v>
      </c>
      <c r="E21" s="76"/>
      <c r="F21" s="350">
        <v>1000</v>
      </c>
      <c r="G21" s="182"/>
      <c r="H21" s="308">
        <f t="shared" si="0"/>
        <v>18396</v>
      </c>
      <c r="I21" s="353" t="s">
        <v>152</v>
      </c>
      <c r="J21" s="76" t="s">
        <v>2868</v>
      </c>
      <c r="K21" s="185"/>
    </row>
    <row r="22" spans="1:11" ht="15.6">
      <c r="A22" s="224">
        <v>45908</v>
      </c>
      <c r="B22" s="350" t="s">
        <v>2100</v>
      </c>
      <c r="C22" s="351" t="s">
        <v>173</v>
      </c>
      <c r="D22" s="352" t="s">
        <v>118</v>
      </c>
      <c r="E22" s="76"/>
      <c r="F22" s="350">
        <v>1000</v>
      </c>
      <c r="G22" s="182"/>
      <c r="H22" s="308">
        <f t="shared" si="0"/>
        <v>17396</v>
      </c>
      <c r="I22" s="353" t="s">
        <v>152</v>
      </c>
      <c r="J22" s="76" t="s">
        <v>2868</v>
      </c>
      <c r="K22" s="185"/>
    </row>
    <row r="23" spans="1:11" ht="15.6">
      <c r="A23" s="224">
        <v>45908</v>
      </c>
      <c r="B23" s="350" t="s">
        <v>2101</v>
      </c>
      <c r="C23" s="351" t="s">
        <v>173</v>
      </c>
      <c r="D23" s="352" t="s">
        <v>118</v>
      </c>
      <c r="E23" s="76"/>
      <c r="F23" s="350">
        <v>1000</v>
      </c>
      <c r="G23" s="182"/>
      <c r="H23" s="308">
        <f t="shared" si="0"/>
        <v>16396</v>
      </c>
      <c r="I23" s="353" t="s">
        <v>152</v>
      </c>
      <c r="J23" s="76" t="s">
        <v>2868</v>
      </c>
      <c r="K23" s="185"/>
    </row>
    <row r="24" spans="1:11" ht="15.6">
      <c r="A24" s="224">
        <v>45908</v>
      </c>
      <c r="B24" s="350" t="s">
        <v>2850</v>
      </c>
      <c r="C24" s="351" t="s">
        <v>151</v>
      </c>
      <c r="D24" s="352" t="s">
        <v>118</v>
      </c>
      <c r="E24" s="76">
        <v>12500</v>
      </c>
      <c r="F24" s="350"/>
      <c r="G24" s="182"/>
      <c r="H24" s="308">
        <f t="shared" si="0"/>
        <v>28896</v>
      </c>
      <c r="I24" s="353" t="s">
        <v>152</v>
      </c>
      <c r="J24" s="76" t="s">
        <v>2872</v>
      </c>
      <c r="K24" s="185"/>
    </row>
    <row r="25" spans="1:11" ht="15.6">
      <c r="A25" s="224">
        <v>45908</v>
      </c>
      <c r="B25" s="350" t="s">
        <v>2850</v>
      </c>
      <c r="C25" s="351" t="s">
        <v>151</v>
      </c>
      <c r="D25" s="352" t="s">
        <v>118</v>
      </c>
      <c r="E25" s="76"/>
      <c r="F25" s="350">
        <v>12500</v>
      </c>
      <c r="G25" s="182"/>
      <c r="H25" s="308">
        <f t="shared" si="0"/>
        <v>16396</v>
      </c>
      <c r="I25" s="353" t="s">
        <v>152</v>
      </c>
      <c r="J25" s="76" t="s">
        <v>2872</v>
      </c>
      <c r="K25" s="185"/>
    </row>
    <row r="26" spans="1:11" ht="15.6">
      <c r="A26" s="224">
        <v>45909</v>
      </c>
      <c r="B26" s="76" t="s">
        <v>2100</v>
      </c>
      <c r="C26" s="351" t="s">
        <v>173</v>
      </c>
      <c r="D26" s="352" t="s">
        <v>118</v>
      </c>
      <c r="E26" s="76"/>
      <c r="F26" s="350">
        <v>1000</v>
      </c>
      <c r="G26" s="182"/>
      <c r="H26" s="308">
        <f t="shared" si="0"/>
        <v>15396</v>
      </c>
      <c r="I26" s="353" t="s">
        <v>152</v>
      </c>
      <c r="J26" s="76" t="s">
        <v>2868</v>
      </c>
      <c r="K26" s="185"/>
    </row>
    <row r="27" spans="1:11" ht="15.6">
      <c r="A27" s="224">
        <v>45909</v>
      </c>
      <c r="B27" s="76" t="s">
        <v>2851</v>
      </c>
      <c r="C27" s="351" t="s">
        <v>173</v>
      </c>
      <c r="D27" s="352" t="s">
        <v>118</v>
      </c>
      <c r="E27" s="76"/>
      <c r="F27" s="350">
        <v>1000</v>
      </c>
      <c r="G27" s="182"/>
      <c r="H27" s="308">
        <f t="shared" si="0"/>
        <v>14396</v>
      </c>
      <c r="I27" s="353" t="s">
        <v>152</v>
      </c>
      <c r="J27" s="76" t="s">
        <v>2868</v>
      </c>
      <c r="K27" s="185"/>
    </row>
    <row r="28" spans="1:11" ht="15.6">
      <c r="A28" s="224">
        <v>45909</v>
      </c>
      <c r="B28" s="76" t="s">
        <v>2852</v>
      </c>
      <c r="C28" s="351" t="s">
        <v>173</v>
      </c>
      <c r="D28" s="352" t="s">
        <v>118</v>
      </c>
      <c r="E28" s="76"/>
      <c r="F28" s="350">
        <v>1000</v>
      </c>
      <c r="G28" s="182"/>
      <c r="H28" s="308">
        <f t="shared" si="0"/>
        <v>13396</v>
      </c>
      <c r="I28" s="353" t="s">
        <v>152</v>
      </c>
      <c r="J28" s="76" t="s">
        <v>2868</v>
      </c>
      <c r="K28" s="185"/>
    </row>
    <row r="29" spans="1:11" ht="15.6">
      <c r="A29" s="224">
        <v>45909</v>
      </c>
      <c r="B29" s="76" t="s">
        <v>2853</v>
      </c>
      <c r="C29" s="351" t="s">
        <v>173</v>
      </c>
      <c r="D29" s="352" t="s">
        <v>118</v>
      </c>
      <c r="E29" s="76"/>
      <c r="F29" s="350">
        <v>1000</v>
      </c>
      <c r="G29" s="182"/>
      <c r="H29" s="308">
        <f t="shared" si="0"/>
        <v>12396</v>
      </c>
      <c r="I29" s="353" t="s">
        <v>152</v>
      </c>
      <c r="J29" s="76" t="s">
        <v>2868</v>
      </c>
      <c r="K29" s="185"/>
    </row>
    <row r="30" spans="1:11" ht="15.6">
      <c r="A30" s="224">
        <v>45909</v>
      </c>
      <c r="B30" s="76" t="s">
        <v>2101</v>
      </c>
      <c r="C30" s="351" t="s">
        <v>173</v>
      </c>
      <c r="D30" s="352" t="s">
        <v>118</v>
      </c>
      <c r="E30" s="76"/>
      <c r="F30" s="350">
        <v>1000</v>
      </c>
      <c r="G30" s="182"/>
      <c r="H30" s="308">
        <f t="shared" si="0"/>
        <v>11396</v>
      </c>
      <c r="I30" s="353" t="s">
        <v>152</v>
      </c>
      <c r="J30" s="76" t="s">
        <v>2868</v>
      </c>
      <c r="K30" s="185"/>
    </row>
    <row r="31" spans="1:11" ht="15.6">
      <c r="A31" s="224">
        <v>45910</v>
      </c>
      <c r="B31" s="76" t="s">
        <v>2854</v>
      </c>
      <c r="C31" s="351" t="s">
        <v>173</v>
      </c>
      <c r="D31" s="352" t="s">
        <v>118</v>
      </c>
      <c r="E31" s="76"/>
      <c r="F31" s="350">
        <v>1000</v>
      </c>
      <c r="G31" s="182"/>
      <c r="H31" s="308">
        <f t="shared" si="0"/>
        <v>10396</v>
      </c>
      <c r="I31" s="353" t="s">
        <v>152</v>
      </c>
      <c r="J31" s="76" t="s">
        <v>2868</v>
      </c>
      <c r="K31" s="185"/>
    </row>
    <row r="32" spans="1:11" ht="15.6">
      <c r="A32" s="224">
        <v>45910</v>
      </c>
      <c r="B32" s="76" t="s">
        <v>2855</v>
      </c>
      <c r="C32" s="351" t="s">
        <v>173</v>
      </c>
      <c r="D32" s="352" t="s">
        <v>118</v>
      </c>
      <c r="E32" s="76"/>
      <c r="F32" s="350">
        <v>1000</v>
      </c>
      <c r="G32" s="182"/>
      <c r="H32" s="308">
        <f t="shared" si="0"/>
        <v>9396</v>
      </c>
      <c r="I32" s="353" t="s">
        <v>152</v>
      </c>
      <c r="J32" s="76" t="s">
        <v>2868</v>
      </c>
      <c r="K32" s="185"/>
    </row>
    <row r="33" spans="1:11" ht="15.6">
      <c r="A33" s="224">
        <v>45911</v>
      </c>
      <c r="B33" s="76" t="s">
        <v>2100</v>
      </c>
      <c r="C33" s="351" t="s">
        <v>173</v>
      </c>
      <c r="D33" s="352" t="s">
        <v>118</v>
      </c>
      <c r="E33" s="76"/>
      <c r="F33" s="350">
        <v>1000</v>
      </c>
      <c r="G33" s="182"/>
      <c r="H33" s="308">
        <f t="shared" si="0"/>
        <v>8396</v>
      </c>
      <c r="I33" s="353" t="s">
        <v>152</v>
      </c>
      <c r="J33" s="76" t="s">
        <v>2868</v>
      </c>
      <c r="K33" s="185"/>
    </row>
    <row r="34" spans="1:11" ht="15.6">
      <c r="A34" s="224">
        <v>45911</v>
      </c>
      <c r="B34" s="76" t="s">
        <v>2384</v>
      </c>
      <c r="C34" s="351" t="s">
        <v>173</v>
      </c>
      <c r="D34" s="352" t="s">
        <v>118</v>
      </c>
      <c r="E34" s="76"/>
      <c r="F34" s="350">
        <v>1000</v>
      </c>
      <c r="G34" s="182"/>
      <c r="H34" s="308">
        <f t="shared" si="0"/>
        <v>7396</v>
      </c>
      <c r="I34" s="353" t="s">
        <v>152</v>
      </c>
      <c r="J34" s="76" t="s">
        <v>2868</v>
      </c>
      <c r="K34" s="185"/>
    </row>
    <row r="35" spans="1:11" ht="15.6">
      <c r="A35" s="224">
        <v>45912</v>
      </c>
      <c r="B35" s="76" t="s">
        <v>2100</v>
      </c>
      <c r="C35" s="351" t="s">
        <v>173</v>
      </c>
      <c r="D35" s="352" t="s">
        <v>118</v>
      </c>
      <c r="E35" s="76"/>
      <c r="F35" s="350">
        <v>1000</v>
      </c>
      <c r="G35" s="182"/>
      <c r="H35" s="308">
        <f t="shared" si="0"/>
        <v>6396</v>
      </c>
      <c r="I35" s="353" t="s">
        <v>152</v>
      </c>
      <c r="J35" s="76" t="s">
        <v>2868</v>
      </c>
      <c r="K35" s="185"/>
    </row>
    <row r="36" spans="1:11" s="333" customFormat="1" ht="15.6">
      <c r="A36" s="224">
        <v>45912</v>
      </c>
      <c r="B36" s="76" t="s">
        <v>2856</v>
      </c>
      <c r="C36" s="351" t="s">
        <v>173</v>
      </c>
      <c r="D36" s="352" t="s">
        <v>118</v>
      </c>
      <c r="E36" s="76"/>
      <c r="F36" s="350">
        <v>1000</v>
      </c>
      <c r="G36" s="182"/>
      <c r="H36" s="308">
        <f t="shared" si="0"/>
        <v>5396</v>
      </c>
      <c r="I36" s="353" t="s">
        <v>152</v>
      </c>
      <c r="J36" s="76" t="s">
        <v>2868</v>
      </c>
      <c r="K36" s="185"/>
    </row>
    <row r="37" spans="1:11" s="333" customFormat="1" ht="15.6">
      <c r="A37" s="224">
        <v>45912</v>
      </c>
      <c r="B37" s="76" t="s">
        <v>2101</v>
      </c>
      <c r="C37" s="351" t="s">
        <v>173</v>
      </c>
      <c r="D37" s="352" t="s">
        <v>118</v>
      </c>
      <c r="E37" s="76"/>
      <c r="F37" s="350">
        <v>1000</v>
      </c>
      <c r="G37" s="182"/>
      <c r="H37" s="308">
        <f t="shared" si="0"/>
        <v>4396</v>
      </c>
      <c r="I37" s="353" t="s">
        <v>152</v>
      </c>
      <c r="J37" s="76" t="s">
        <v>2868</v>
      </c>
      <c r="K37" s="185"/>
    </row>
    <row r="38" spans="1:11" ht="15.6">
      <c r="A38" s="224">
        <v>45915</v>
      </c>
      <c r="B38" s="76" t="s">
        <v>2100</v>
      </c>
      <c r="C38" s="351" t="s">
        <v>173</v>
      </c>
      <c r="D38" s="352" t="s">
        <v>118</v>
      </c>
      <c r="E38" s="76"/>
      <c r="F38" s="350">
        <v>1000</v>
      </c>
      <c r="G38" s="182"/>
      <c r="H38" s="308">
        <f t="shared" si="0"/>
        <v>3396</v>
      </c>
      <c r="I38" s="353" t="s">
        <v>152</v>
      </c>
      <c r="J38" s="76" t="s">
        <v>2868</v>
      </c>
      <c r="K38" s="185"/>
    </row>
    <row r="39" spans="1:11" ht="15.6">
      <c r="A39" s="224">
        <v>45915</v>
      </c>
      <c r="B39" s="76" t="s">
        <v>2101</v>
      </c>
      <c r="C39" s="351" t="s">
        <v>173</v>
      </c>
      <c r="D39" s="352" t="s">
        <v>118</v>
      </c>
      <c r="E39" s="76"/>
      <c r="F39" s="350">
        <v>1000</v>
      </c>
      <c r="G39" s="182"/>
      <c r="H39" s="308">
        <f t="shared" si="0"/>
        <v>2396</v>
      </c>
      <c r="I39" s="353" t="s">
        <v>152</v>
      </c>
      <c r="J39" s="76" t="s">
        <v>2868</v>
      </c>
      <c r="K39" s="185"/>
    </row>
    <row r="40" spans="1:11" ht="15.6">
      <c r="A40" s="224">
        <v>45916</v>
      </c>
      <c r="B40" s="76" t="s">
        <v>2100</v>
      </c>
      <c r="C40" s="351" t="s">
        <v>173</v>
      </c>
      <c r="D40" s="352" t="s">
        <v>118</v>
      </c>
      <c r="E40" s="76"/>
      <c r="F40" s="350">
        <v>1000</v>
      </c>
      <c r="G40" s="182"/>
      <c r="H40" s="308">
        <f t="shared" si="0"/>
        <v>1396</v>
      </c>
      <c r="I40" s="353" t="s">
        <v>152</v>
      </c>
      <c r="J40" s="76" t="s">
        <v>2868</v>
      </c>
      <c r="K40" s="185"/>
    </row>
    <row r="41" spans="1:11" ht="15.6">
      <c r="A41" s="224">
        <v>45916</v>
      </c>
      <c r="B41" s="76" t="s">
        <v>2101</v>
      </c>
      <c r="C41" s="351" t="s">
        <v>173</v>
      </c>
      <c r="D41" s="352" t="s">
        <v>118</v>
      </c>
      <c r="E41" s="76"/>
      <c r="F41" s="350">
        <v>1000</v>
      </c>
      <c r="G41" s="182"/>
      <c r="H41" s="308">
        <f t="shared" si="0"/>
        <v>396</v>
      </c>
      <c r="I41" s="353" t="s">
        <v>152</v>
      </c>
      <c r="J41" s="76" t="s">
        <v>2868</v>
      </c>
      <c r="K41" s="185"/>
    </row>
    <row r="42" spans="1:11" ht="15.6">
      <c r="A42" s="224">
        <v>45917</v>
      </c>
      <c r="B42" s="76" t="s">
        <v>2857</v>
      </c>
      <c r="C42" s="351" t="s">
        <v>173</v>
      </c>
      <c r="D42" s="352" t="s">
        <v>118</v>
      </c>
      <c r="E42" s="76"/>
      <c r="F42" s="350">
        <v>1000</v>
      </c>
      <c r="G42" s="182"/>
      <c r="H42" s="308">
        <f t="shared" si="0"/>
        <v>-604</v>
      </c>
      <c r="I42" s="353" t="s">
        <v>152</v>
      </c>
      <c r="J42" s="76" t="s">
        <v>2868</v>
      </c>
      <c r="K42" s="185"/>
    </row>
    <row r="43" spans="1:11" ht="15.6">
      <c r="A43" s="224">
        <v>45917</v>
      </c>
      <c r="B43" s="76" t="s">
        <v>2856</v>
      </c>
      <c r="C43" s="351" t="s">
        <v>173</v>
      </c>
      <c r="D43" s="352" t="s">
        <v>118</v>
      </c>
      <c r="E43" s="76"/>
      <c r="F43" s="350">
        <v>1000</v>
      </c>
      <c r="G43" s="182"/>
      <c r="H43" s="308">
        <f t="shared" si="0"/>
        <v>-1604</v>
      </c>
      <c r="I43" s="353" t="s">
        <v>152</v>
      </c>
      <c r="J43" s="76" t="s">
        <v>2868</v>
      </c>
      <c r="K43" s="185"/>
    </row>
    <row r="44" spans="1:11" ht="15.6">
      <c r="A44" s="224">
        <v>45917</v>
      </c>
      <c r="B44" s="350" t="s">
        <v>2858</v>
      </c>
      <c r="C44" s="351" t="s">
        <v>151</v>
      </c>
      <c r="D44" s="352" t="s">
        <v>118</v>
      </c>
      <c r="E44" s="76">
        <v>12500</v>
      </c>
      <c r="F44" s="350"/>
      <c r="G44" s="182"/>
      <c r="H44" s="308">
        <f t="shared" si="0"/>
        <v>10896</v>
      </c>
      <c r="I44" s="353" t="s">
        <v>152</v>
      </c>
      <c r="J44" s="76" t="s">
        <v>2873</v>
      </c>
      <c r="K44" s="185"/>
    </row>
    <row r="45" spans="1:11" ht="15.6">
      <c r="A45" s="224">
        <v>45917</v>
      </c>
      <c r="B45" s="350" t="s">
        <v>2858</v>
      </c>
      <c r="C45" s="351" t="s">
        <v>151</v>
      </c>
      <c r="D45" s="352" t="s">
        <v>118</v>
      </c>
      <c r="E45" s="76"/>
      <c r="F45" s="350">
        <v>12500</v>
      </c>
      <c r="G45" s="182"/>
      <c r="H45" s="308">
        <f t="shared" si="0"/>
        <v>-1604</v>
      </c>
      <c r="I45" s="353" t="s">
        <v>152</v>
      </c>
      <c r="J45" s="76" t="s">
        <v>2873</v>
      </c>
      <c r="K45" s="185"/>
    </row>
    <row r="46" spans="1:11" ht="15.6">
      <c r="A46" s="224">
        <v>45917</v>
      </c>
      <c r="B46" s="76" t="s">
        <v>2113</v>
      </c>
      <c r="C46" s="351" t="s">
        <v>173</v>
      </c>
      <c r="D46" s="352" t="s">
        <v>118</v>
      </c>
      <c r="E46" s="76"/>
      <c r="F46" s="350">
        <v>1000</v>
      </c>
      <c r="G46" s="182"/>
      <c r="H46" s="308">
        <f t="shared" si="0"/>
        <v>-2604</v>
      </c>
      <c r="I46" s="353" t="s">
        <v>152</v>
      </c>
      <c r="J46" s="76" t="s">
        <v>2868</v>
      </c>
      <c r="K46" s="185"/>
    </row>
    <row r="47" spans="1:11" ht="15.6">
      <c r="A47" s="224">
        <v>45918</v>
      </c>
      <c r="B47" s="76" t="s">
        <v>2100</v>
      </c>
      <c r="C47" s="351" t="s">
        <v>173</v>
      </c>
      <c r="D47" s="352" t="s">
        <v>118</v>
      </c>
      <c r="E47" s="76"/>
      <c r="F47" s="350">
        <v>1000</v>
      </c>
      <c r="G47" s="182"/>
      <c r="H47" s="308">
        <f t="shared" si="0"/>
        <v>-3604</v>
      </c>
      <c r="I47" s="353" t="s">
        <v>152</v>
      </c>
      <c r="J47" s="76" t="s">
        <v>2868</v>
      </c>
      <c r="K47" s="185"/>
    </row>
    <row r="48" spans="1:11" ht="15.6">
      <c r="A48" s="224">
        <v>45918</v>
      </c>
      <c r="B48" s="76" t="s">
        <v>2101</v>
      </c>
      <c r="C48" s="351" t="s">
        <v>173</v>
      </c>
      <c r="D48" s="352" t="s">
        <v>118</v>
      </c>
      <c r="E48" s="76"/>
      <c r="F48" s="350">
        <v>1000</v>
      </c>
      <c r="G48" s="182"/>
      <c r="H48" s="308">
        <f t="shared" si="0"/>
        <v>-4604</v>
      </c>
      <c r="I48" s="353" t="s">
        <v>152</v>
      </c>
      <c r="J48" s="76" t="s">
        <v>2868</v>
      </c>
      <c r="K48" s="185"/>
    </row>
    <row r="49" spans="1:11" ht="15.6">
      <c r="A49" s="224">
        <v>45919</v>
      </c>
      <c r="B49" s="76" t="s">
        <v>2100</v>
      </c>
      <c r="C49" s="351" t="s">
        <v>173</v>
      </c>
      <c r="D49" s="352" t="s">
        <v>118</v>
      </c>
      <c r="E49" s="76"/>
      <c r="F49" s="350">
        <v>1000</v>
      </c>
      <c r="G49" s="182"/>
      <c r="H49" s="308">
        <f t="shared" si="0"/>
        <v>-5604</v>
      </c>
      <c r="I49" s="353" t="s">
        <v>152</v>
      </c>
      <c r="J49" s="76" t="s">
        <v>2868</v>
      </c>
      <c r="K49" s="185"/>
    </row>
    <row r="50" spans="1:11" ht="15.6">
      <c r="A50" s="224">
        <v>45919</v>
      </c>
      <c r="B50" s="76" t="s">
        <v>2101</v>
      </c>
      <c r="C50" s="351" t="s">
        <v>173</v>
      </c>
      <c r="D50" s="352" t="s">
        <v>118</v>
      </c>
      <c r="E50" s="76"/>
      <c r="F50" s="350">
        <v>1000</v>
      </c>
      <c r="G50" s="182"/>
      <c r="H50" s="308">
        <f t="shared" si="0"/>
        <v>-6604</v>
      </c>
      <c r="I50" s="353" t="s">
        <v>152</v>
      </c>
      <c r="J50" s="76" t="s">
        <v>2868</v>
      </c>
      <c r="K50" s="185"/>
    </row>
    <row r="51" spans="1:11" ht="15.6">
      <c r="A51" s="224">
        <v>45920</v>
      </c>
      <c r="B51" s="76" t="s">
        <v>2100</v>
      </c>
      <c r="C51" s="351" t="s">
        <v>173</v>
      </c>
      <c r="D51" s="352" t="s">
        <v>118</v>
      </c>
      <c r="E51" s="76"/>
      <c r="F51" s="350">
        <v>1000</v>
      </c>
      <c r="G51" s="182"/>
      <c r="H51" s="308">
        <f t="shared" si="0"/>
        <v>-7604</v>
      </c>
      <c r="I51" s="353" t="s">
        <v>152</v>
      </c>
      <c r="J51" s="76" t="s">
        <v>2868</v>
      </c>
      <c r="K51" s="185"/>
    </row>
    <row r="52" spans="1:11" ht="15.6">
      <c r="A52" s="224">
        <v>45920</v>
      </c>
      <c r="B52" s="76" t="s">
        <v>2101</v>
      </c>
      <c r="C52" s="351" t="s">
        <v>173</v>
      </c>
      <c r="D52" s="352" t="s">
        <v>118</v>
      </c>
      <c r="E52" s="76"/>
      <c r="F52" s="350">
        <v>1000</v>
      </c>
      <c r="G52" s="182"/>
      <c r="H52" s="308">
        <f t="shared" si="0"/>
        <v>-8604</v>
      </c>
      <c r="I52" s="353" t="s">
        <v>152</v>
      </c>
      <c r="J52" s="76" t="s">
        <v>2868</v>
      </c>
      <c r="K52" s="185"/>
    </row>
    <row r="53" spans="1:11" ht="15.6">
      <c r="A53" s="224">
        <v>45921</v>
      </c>
      <c r="B53" s="76" t="s">
        <v>2100</v>
      </c>
      <c r="C53" s="351" t="s">
        <v>173</v>
      </c>
      <c r="D53" s="352" t="s">
        <v>118</v>
      </c>
      <c r="E53" s="76"/>
      <c r="F53" s="350">
        <v>1000</v>
      </c>
      <c r="G53" s="182"/>
      <c r="H53" s="308">
        <f t="shared" si="0"/>
        <v>-9604</v>
      </c>
      <c r="I53" s="353" t="s">
        <v>152</v>
      </c>
      <c r="J53" s="76" t="s">
        <v>2868</v>
      </c>
      <c r="K53" s="185"/>
    </row>
    <row r="54" spans="1:11" ht="15.6">
      <c r="A54" s="224">
        <v>45921</v>
      </c>
      <c r="B54" s="76" t="s">
        <v>2101</v>
      </c>
      <c r="C54" s="351" t="s">
        <v>173</v>
      </c>
      <c r="D54" s="352" t="s">
        <v>118</v>
      </c>
      <c r="E54" s="76"/>
      <c r="F54" s="350">
        <v>1000</v>
      </c>
      <c r="G54" s="182"/>
      <c r="H54" s="308">
        <f t="shared" si="0"/>
        <v>-10604</v>
      </c>
      <c r="I54" s="353" t="s">
        <v>152</v>
      </c>
      <c r="J54" s="76" t="s">
        <v>2868</v>
      </c>
      <c r="K54" s="185"/>
    </row>
    <row r="55" spans="1:11" ht="15.6">
      <c r="A55" s="224">
        <v>45922</v>
      </c>
      <c r="B55" s="76" t="s">
        <v>2100</v>
      </c>
      <c r="C55" s="351" t="s">
        <v>173</v>
      </c>
      <c r="D55" s="352" t="s">
        <v>118</v>
      </c>
      <c r="E55" s="76"/>
      <c r="F55" s="350">
        <v>1000</v>
      </c>
      <c r="G55" s="182"/>
      <c r="H55" s="308">
        <f t="shared" si="0"/>
        <v>-11604</v>
      </c>
      <c r="I55" s="353" t="s">
        <v>152</v>
      </c>
      <c r="J55" s="76" t="s">
        <v>2868</v>
      </c>
      <c r="K55" s="185"/>
    </row>
    <row r="56" spans="1:11" ht="15.6">
      <c r="A56" s="224">
        <v>45922</v>
      </c>
      <c r="B56" s="76" t="s">
        <v>2101</v>
      </c>
      <c r="C56" s="351" t="s">
        <v>173</v>
      </c>
      <c r="D56" s="352" t="s">
        <v>118</v>
      </c>
      <c r="E56" s="76"/>
      <c r="F56" s="350">
        <v>1000</v>
      </c>
      <c r="G56" s="182"/>
      <c r="H56" s="308">
        <f t="shared" si="0"/>
        <v>-12604</v>
      </c>
      <c r="I56" s="353" t="s">
        <v>152</v>
      </c>
      <c r="J56" s="76" t="s">
        <v>2868</v>
      </c>
      <c r="K56" s="185"/>
    </row>
    <row r="57" spans="1:11" ht="15.6">
      <c r="A57" s="224">
        <v>45923</v>
      </c>
      <c r="B57" s="76" t="s">
        <v>2100</v>
      </c>
      <c r="C57" s="351" t="s">
        <v>173</v>
      </c>
      <c r="D57" s="352" t="s">
        <v>118</v>
      </c>
      <c r="E57" s="76"/>
      <c r="F57" s="350">
        <v>1000</v>
      </c>
      <c r="G57" s="182"/>
      <c r="H57" s="308">
        <f t="shared" si="0"/>
        <v>-13604</v>
      </c>
      <c r="I57" s="353" t="s">
        <v>152</v>
      </c>
      <c r="J57" s="76" t="s">
        <v>2868</v>
      </c>
      <c r="K57" s="185"/>
    </row>
    <row r="58" spans="1:11" ht="15.6">
      <c r="A58" s="224">
        <v>45923</v>
      </c>
      <c r="B58" s="76" t="s">
        <v>2859</v>
      </c>
      <c r="C58" s="351" t="s">
        <v>173</v>
      </c>
      <c r="D58" s="352" t="s">
        <v>118</v>
      </c>
      <c r="E58" s="76"/>
      <c r="F58" s="350">
        <v>1000</v>
      </c>
      <c r="G58" s="182"/>
      <c r="H58" s="308">
        <f t="shared" si="0"/>
        <v>-14604</v>
      </c>
      <c r="I58" s="353" t="s">
        <v>152</v>
      </c>
      <c r="J58" s="76" t="s">
        <v>2868</v>
      </c>
      <c r="K58" s="185"/>
    </row>
    <row r="59" spans="1:11" ht="15.6">
      <c r="A59" s="224">
        <v>45923</v>
      </c>
      <c r="B59" s="76" t="s">
        <v>2860</v>
      </c>
      <c r="C59" s="351" t="s">
        <v>173</v>
      </c>
      <c r="D59" s="352" t="s">
        <v>118</v>
      </c>
      <c r="E59" s="76"/>
      <c r="F59" s="350">
        <v>1000</v>
      </c>
      <c r="G59" s="182"/>
      <c r="H59" s="308">
        <f t="shared" si="0"/>
        <v>-15604</v>
      </c>
      <c r="I59" s="353" t="s">
        <v>152</v>
      </c>
      <c r="J59" s="76" t="s">
        <v>2868</v>
      </c>
      <c r="K59" s="185"/>
    </row>
    <row r="60" spans="1:11" ht="15.6">
      <c r="A60" s="224">
        <v>45923</v>
      </c>
      <c r="B60" s="76" t="s">
        <v>2101</v>
      </c>
      <c r="C60" s="351" t="s">
        <v>173</v>
      </c>
      <c r="D60" s="352" t="s">
        <v>118</v>
      </c>
      <c r="E60" s="76"/>
      <c r="F60" s="350">
        <v>1000</v>
      </c>
      <c r="G60" s="182"/>
      <c r="H60" s="308">
        <f t="shared" si="0"/>
        <v>-16604</v>
      </c>
      <c r="I60" s="353" t="s">
        <v>152</v>
      </c>
      <c r="J60" s="76" t="s">
        <v>2868</v>
      </c>
      <c r="K60" s="185"/>
    </row>
    <row r="61" spans="1:11" ht="15.6">
      <c r="A61" s="224">
        <v>45924</v>
      </c>
      <c r="B61" s="76" t="s">
        <v>2100</v>
      </c>
      <c r="C61" s="351" t="s">
        <v>173</v>
      </c>
      <c r="D61" s="352" t="s">
        <v>118</v>
      </c>
      <c r="E61" s="76"/>
      <c r="F61" s="350">
        <v>1000</v>
      </c>
      <c r="G61" s="182"/>
      <c r="H61" s="308">
        <f t="shared" si="0"/>
        <v>-17604</v>
      </c>
      <c r="I61" s="353" t="s">
        <v>152</v>
      </c>
      <c r="J61" s="76" t="s">
        <v>2868</v>
      </c>
      <c r="K61" s="185"/>
    </row>
    <row r="62" spans="1:11" ht="15.6">
      <c r="A62" s="224">
        <v>45924</v>
      </c>
      <c r="B62" s="76" t="s">
        <v>2101</v>
      </c>
      <c r="C62" s="351" t="s">
        <v>173</v>
      </c>
      <c r="D62" s="352" t="s">
        <v>118</v>
      </c>
      <c r="E62" s="76"/>
      <c r="F62" s="350">
        <v>1000</v>
      </c>
      <c r="G62" s="182"/>
      <c r="H62" s="308">
        <f t="shared" si="0"/>
        <v>-18604</v>
      </c>
      <c r="I62" s="353" t="s">
        <v>152</v>
      </c>
      <c r="J62" s="76" t="s">
        <v>2868</v>
      </c>
      <c r="K62" s="185"/>
    </row>
    <row r="63" spans="1:11" ht="15.6">
      <c r="A63" s="224">
        <v>45925</v>
      </c>
      <c r="B63" s="76" t="s">
        <v>2100</v>
      </c>
      <c r="C63" s="351" t="s">
        <v>173</v>
      </c>
      <c r="D63" s="352" t="s">
        <v>118</v>
      </c>
      <c r="E63" s="76"/>
      <c r="F63" s="350">
        <v>1000</v>
      </c>
      <c r="G63" s="182"/>
      <c r="H63" s="308">
        <f t="shared" si="0"/>
        <v>-19604</v>
      </c>
      <c r="I63" s="353" t="s">
        <v>152</v>
      </c>
      <c r="J63" s="76" t="s">
        <v>2868</v>
      </c>
      <c r="K63" s="185"/>
    </row>
    <row r="64" spans="1:11" ht="15.6">
      <c r="A64" s="224">
        <v>45925</v>
      </c>
      <c r="B64" s="76" t="s">
        <v>2101</v>
      </c>
      <c r="C64" s="351" t="s">
        <v>173</v>
      </c>
      <c r="D64" s="352" t="s">
        <v>118</v>
      </c>
      <c r="E64" s="76"/>
      <c r="F64" s="350">
        <v>1000</v>
      </c>
      <c r="G64" s="182"/>
      <c r="H64" s="308">
        <f t="shared" si="0"/>
        <v>-20604</v>
      </c>
      <c r="I64" s="353" t="s">
        <v>152</v>
      </c>
      <c r="J64" s="76" t="s">
        <v>2868</v>
      </c>
      <c r="K64" s="185"/>
    </row>
    <row r="65" spans="1:11" ht="15.6">
      <c r="A65" s="224">
        <v>45926</v>
      </c>
      <c r="B65" s="76" t="s">
        <v>2100</v>
      </c>
      <c r="C65" s="351" t="s">
        <v>173</v>
      </c>
      <c r="D65" s="352" t="s">
        <v>118</v>
      </c>
      <c r="E65" s="76"/>
      <c r="F65" s="350">
        <v>1000</v>
      </c>
      <c r="G65" s="182"/>
      <c r="H65" s="308">
        <f t="shared" si="0"/>
        <v>-21604</v>
      </c>
      <c r="I65" s="353" t="s">
        <v>152</v>
      </c>
      <c r="J65" s="76" t="s">
        <v>2868</v>
      </c>
      <c r="K65" s="185"/>
    </row>
    <row r="66" spans="1:11" ht="15.6">
      <c r="A66" s="224">
        <v>45926</v>
      </c>
      <c r="B66" s="76" t="s">
        <v>2861</v>
      </c>
      <c r="C66" s="351" t="s">
        <v>123</v>
      </c>
      <c r="D66" s="352" t="s">
        <v>118</v>
      </c>
      <c r="E66" s="76"/>
      <c r="F66" s="350">
        <v>80000</v>
      </c>
      <c r="G66" s="182"/>
      <c r="H66" s="308">
        <f t="shared" si="0"/>
        <v>-101604</v>
      </c>
      <c r="I66" s="353" t="s">
        <v>152</v>
      </c>
      <c r="J66" s="76" t="s">
        <v>2874</v>
      </c>
      <c r="K66" s="185"/>
    </row>
    <row r="67" spans="1:11" ht="15.6">
      <c r="A67" s="224">
        <v>45926</v>
      </c>
      <c r="B67" s="76" t="s">
        <v>2101</v>
      </c>
      <c r="C67" s="351" t="s">
        <v>173</v>
      </c>
      <c r="D67" s="352" t="s">
        <v>118</v>
      </c>
      <c r="E67" s="76"/>
      <c r="F67" s="350">
        <v>1000</v>
      </c>
      <c r="G67" s="182"/>
      <c r="H67" s="308">
        <f t="shared" si="0"/>
        <v>-102604</v>
      </c>
      <c r="I67" s="353" t="s">
        <v>152</v>
      </c>
      <c r="J67" s="76" t="s">
        <v>2868</v>
      </c>
      <c r="K67" s="185"/>
    </row>
    <row r="68" spans="1:11" ht="15.6">
      <c r="A68" s="224">
        <v>45927</v>
      </c>
      <c r="B68" s="76" t="s">
        <v>2100</v>
      </c>
      <c r="C68" s="351" t="s">
        <v>173</v>
      </c>
      <c r="D68" s="352" t="s">
        <v>118</v>
      </c>
      <c r="E68" s="76"/>
      <c r="F68" s="350">
        <v>1000</v>
      </c>
      <c r="G68" s="182"/>
      <c r="H68" s="308">
        <f t="shared" si="0"/>
        <v>-103604</v>
      </c>
      <c r="I68" s="353" t="s">
        <v>152</v>
      </c>
      <c r="J68" s="76" t="s">
        <v>2868</v>
      </c>
      <c r="K68" s="185"/>
    </row>
    <row r="69" spans="1:11" ht="15.6">
      <c r="A69" s="224">
        <v>45927</v>
      </c>
      <c r="B69" s="76" t="s">
        <v>2862</v>
      </c>
      <c r="C69" s="351" t="s">
        <v>173</v>
      </c>
      <c r="D69" s="352" t="s">
        <v>118</v>
      </c>
      <c r="E69" s="76"/>
      <c r="F69" s="350">
        <v>1000</v>
      </c>
      <c r="G69" s="182"/>
      <c r="H69" s="308">
        <f t="shared" si="0"/>
        <v>-104604</v>
      </c>
      <c r="I69" s="353" t="s">
        <v>152</v>
      </c>
      <c r="J69" s="76" t="s">
        <v>2868</v>
      </c>
      <c r="K69" s="185"/>
    </row>
    <row r="70" spans="1:11" ht="15.6">
      <c r="A70" s="224">
        <v>45928</v>
      </c>
      <c r="B70" s="76" t="s">
        <v>2100</v>
      </c>
      <c r="C70" s="351" t="s">
        <v>173</v>
      </c>
      <c r="D70" s="352" t="s">
        <v>118</v>
      </c>
      <c r="E70" s="76"/>
      <c r="F70" s="350">
        <v>1000</v>
      </c>
      <c r="G70" s="182"/>
      <c r="H70" s="308">
        <f t="shared" ref="H70:H77" si="1">H69+E70-F70</f>
        <v>-105604</v>
      </c>
      <c r="I70" s="353" t="s">
        <v>152</v>
      </c>
      <c r="J70" s="76" t="s">
        <v>2868</v>
      </c>
      <c r="K70" s="185"/>
    </row>
    <row r="71" spans="1:11" ht="15.6">
      <c r="A71" s="224">
        <v>45928</v>
      </c>
      <c r="B71" s="76" t="s">
        <v>2384</v>
      </c>
      <c r="C71" s="351" t="s">
        <v>173</v>
      </c>
      <c r="D71" s="352" t="s">
        <v>118</v>
      </c>
      <c r="E71" s="76"/>
      <c r="F71" s="350">
        <v>1000</v>
      </c>
      <c r="G71" s="182"/>
      <c r="H71" s="308">
        <f t="shared" si="1"/>
        <v>-106604</v>
      </c>
      <c r="I71" s="353" t="s">
        <v>152</v>
      </c>
      <c r="J71" s="76" t="s">
        <v>2868</v>
      </c>
      <c r="K71" s="185"/>
    </row>
    <row r="72" spans="1:11" ht="15.6">
      <c r="A72" s="224">
        <v>45928</v>
      </c>
      <c r="B72" s="76" t="s">
        <v>2863</v>
      </c>
      <c r="C72" s="351" t="s">
        <v>173</v>
      </c>
      <c r="D72" s="352" t="s">
        <v>118</v>
      </c>
      <c r="E72" s="76"/>
      <c r="F72" s="350">
        <v>9000</v>
      </c>
      <c r="G72" s="182"/>
      <c r="H72" s="308">
        <f t="shared" si="1"/>
        <v>-115604</v>
      </c>
      <c r="I72" s="353" t="s">
        <v>152</v>
      </c>
      <c r="J72" s="76" t="s">
        <v>2875</v>
      </c>
      <c r="K72" s="185"/>
    </row>
    <row r="73" spans="1:11" ht="15.6">
      <c r="A73" s="224">
        <v>45929</v>
      </c>
      <c r="B73" s="76" t="s">
        <v>2864</v>
      </c>
      <c r="C73" s="351" t="s">
        <v>173</v>
      </c>
      <c r="D73" s="352" t="s">
        <v>118</v>
      </c>
      <c r="E73" s="76"/>
      <c r="F73" s="350">
        <v>1000</v>
      </c>
      <c r="G73" s="182"/>
      <c r="H73" s="308">
        <f t="shared" si="1"/>
        <v>-116604</v>
      </c>
      <c r="I73" s="353" t="s">
        <v>152</v>
      </c>
      <c r="J73" s="76" t="s">
        <v>2868</v>
      </c>
      <c r="K73" s="185"/>
    </row>
    <row r="74" spans="1:11" ht="15.6">
      <c r="A74" s="224">
        <v>45929</v>
      </c>
      <c r="B74" s="76" t="s">
        <v>2865</v>
      </c>
      <c r="C74" s="351" t="s">
        <v>123</v>
      </c>
      <c r="D74" s="352" t="s">
        <v>118</v>
      </c>
      <c r="E74" s="76"/>
      <c r="F74" s="350">
        <v>110000</v>
      </c>
      <c r="G74" s="182"/>
      <c r="H74" s="308">
        <f t="shared" si="1"/>
        <v>-226604</v>
      </c>
      <c r="I74" s="353" t="s">
        <v>152</v>
      </c>
      <c r="J74" s="76" t="s">
        <v>2876</v>
      </c>
      <c r="K74" s="185"/>
    </row>
    <row r="75" spans="1:11" ht="15.6">
      <c r="A75" s="224">
        <v>45929</v>
      </c>
      <c r="B75" s="350" t="s">
        <v>2866</v>
      </c>
      <c r="C75" s="351" t="s">
        <v>151</v>
      </c>
      <c r="D75" s="352" t="s">
        <v>118</v>
      </c>
      <c r="E75" s="76">
        <v>12500</v>
      </c>
      <c r="F75" s="350"/>
      <c r="G75" s="182"/>
      <c r="H75" s="308">
        <f t="shared" si="1"/>
        <v>-214104</v>
      </c>
      <c r="I75" s="353" t="s">
        <v>152</v>
      </c>
      <c r="J75" s="76" t="s">
        <v>2877</v>
      </c>
      <c r="K75" s="185"/>
    </row>
    <row r="76" spans="1:11" ht="15.6">
      <c r="A76" s="224">
        <v>45929</v>
      </c>
      <c r="B76" s="350" t="s">
        <v>2866</v>
      </c>
      <c r="C76" s="351" t="s">
        <v>151</v>
      </c>
      <c r="D76" s="352" t="s">
        <v>118</v>
      </c>
      <c r="E76" s="76"/>
      <c r="F76" s="350">
        <v>12500</v>
      </c>
      <c r="G76" s="182"/>
      <c r="H76" s="308">
        <f t="shared" si="1"/>
        <v>-226604</v>
      </c>
      <c r="I76" s="353" t="s">
        <v>152</v>
      </c>
      <c r="J76" s="76" t="s">
        <v>2877</v>
      </c>
      <c r="K76" s="185"/>
    </row>
    <row r="77" spans="1:11" ht="15.6">
      <c r="A77" s="224">
        <v>45929</v>
      </c>
      <c r="B77" s="76" t="s">
        <v>2867</v>
      </c>
      <c r="C77" s="351" t="s">
        <v>2391</v>
      </c>
      <c r="D77" s="352" t="s">
        <v>118</v>
      </c>
      <c r="E77" s="76"/>
      <c r="F77" s="350">
        <v>30000</v>
      </c>
      <c r="G77" s="182"/>
      <c r="H77" s="308">
        <f t="shared" si="1"/>
        <v>-256604</v>
      </c>
      <c r="I77" s="353" t="s">
        <v>152</v>
      </c>
      <c r="J77" s="76" t="s">
        <v>2868</v>
      </c>
      <c r="K77" s="185"/>
    </row>
    <row r="78" spans="1:11" ht="15.6">
      <c r="A78" s="197"/>
      <c r="B78" s="185"/>
      <c r="C78" s="185"/>
      <c r="D78" s="185"/>
      <c r="E78" s="189">
        <f>SUM(E4:E77)</f>
        <v>245000</v>
      </c>
      <c r="F78" s="189">
        <f>SUM(F4:F77)</f>
        <v>512625</v>
      </c>
      <c r="G78" s="189"/>
      <c r="H78" s="309">
        <f>+H4+E78-F78</f>
        <v>-256604</v>
      </c>
      <c r="I78" s="239"/>
      <c r="J78" s="310"/>
      <c r="K78" s="185"/>
    </row>
    <row r="79" spans="1:11" ht="15.6">
      <c r="A79" s="187"/>
      <c r="B79" s="185"/>
      <c r="C79" s="188" t="s">
        <v>452</v>
      </c>
      <c r="D79" s="185"/>
      <c r="E79" s="189"/>
      <c r="F79" s="189"/>
      <c r="G79" s="189"/>
      <c r="H79" s="190"/>
      <c r="I79" s="185"/>
      <c r="J79" s="310"/>
      <c r="K79" s="185"/>
    </row>
    <row r="80" spans="1:11" ht="15.6">
      <c r="A80" s="187"/>
      <c r="B80" s="185"/>
      <c r="C80" s="188"/>
      <c r="D80" s="185"/>
      <c r="E80" s="189"/>
      <c r="F80" s="189"/>
      <c r="G80" s="189"/>
      <c r="H80" s="190"/>
      <c r="I80" s="185"/>
      <c r="J80" s="185"/>
      <c r="K80" s="185"/>
    </row>
    <row r="81" spans="1:11" ht="15.6">
      <c r="A81" s="191" t="s">
        <v>0</v>
      </c>
      <c r="B81" s="192" t="s">
        <v>445</v>
      </c>
      <c r="C81" s="192" t="s">
        <v>446</v>
      </c>
      <c r="D81" s="192" t="s">
        <v>447</v>
      </c>
      <c r="E81" s="193" t="s">
        <v>448</v>
      </c>
      <c r="F81" s="193" t="s">
        <v>449</v>
      </c>
      <c r="G81" s="193"/>
      <c r="H81" s="194" t="s">
        <v>30</v>
      </c>
      <c r="I81" s="192" t="s">
        <v>450</v>
      </c>
      <c r="J81" s="192" t="s">
        <v>451</v>
      </c>
      <c r="K81" s="195"/>
    </row>
    <row r="82" spans="1:11" ht="15.6">
      <c r="A82" s="173">
        <v>45901</v>
      </c>
      <c r="B82" s="179" t="s">
        <v>2878</v>
      </c>
      <c r="C82" s="179"/>
      <c r="D82" s="179"/>
      <c r="E82" s="182"/>
      <c r="F82" s="182"/>
      <c r="G82" s="182"/>
      <c r="H82" s="183">
        <v>200620</v>
      </c>
      <c r="I82" s="174" t="s">
        <v>199</v>
      </c>
      <c r="J82" s="179"/>
      <c r="K82" s="185"/>
    </row>
    <row r="83" spans="1:11" ht="15.6">
      <c r="A83" s="425">
        <v>45901</v>
      </c>
      <c r="B83" s="426" t="s">
        <v>2879</v>
      </c>
      <c r="C83" s="426" t="s">
        <v>2391</v>
      </c>
      <c r="D83" s="311" t="s">
        <v>116</v>
      </c>
      <c r="E83" s="131"/>
      <c r="F83" s="131">
        <v>120000</v>
      </c>
      <c r="G83" s="182"/>
      <c r="H83" s="183">
        <f>H82+E83-F83</f>
        <v>80620</v>
      </c>
      <c r="I83" s="432" t="s">
        <v>199</v>
      </c>
      <c r="J83" s="426" t="s">
        <v>2907</v>
      </c>
      <c r="K83" s="185"/>
    </row>
    <row r="84" spans="1:11" ht="15.6">
      <c r="A84" s="425">
        <v>45901</v>
      </c>
      <c r="B84" s="181" t="s">
        <v>2880</v>
      </c>
      <c r="C84" s="243" t="s">
        <v>151</v>
      </c>
      <c r="D84" s="243" t="s">
        <v>116</v>
      </c>
      <c r="E84" s="131">
        <v>10000</v>
      </c>
      <c r="F84" s="131"/>
      <c r="G84" s="182"/>
      <c r="H84" s="183">
        <f t="shared" ref="H84:H130" si="2">H83+E84-F84</f>
        <v>90620</v>
      </c>
      <c r="I84" s="432" t="s">
        <v>199</v>
      </c>
      <c r="J84" s="426" t="s">
        <v>2908</v>
      </c>
      <c r="K84" s="185"/>
    </row>
    <row r="85" spans="1:11" ht="15.6">
      <c r="A85" s="425">
        <v>45901</v>
      </c>
      <c r="B85" s="181" t="s">
        <v>2880</v>
      </c>
      <c r="C85" s="243" t="s">
        <v>151</v>
      </c>
      <c r="D85" s="243" t="s">
        <v>116</v>
      </c>
      <c r="E85" s="131"/>
      <c r="F85" s="131">
        <v>10000</v>
      </c>
      <c r="G85" s="182"/>
      <c r="H85" s="183">
        <f t="shared" si="2"/>
        <v>80620</v>
      </c>
      <c r="I85" s="432" t="s">
        <v>199</v>
      </c>
      <c r="J85" s="426" t="s">
        <v>2908</v>
      </c>
      <c r="K85" s="185"/>
    </row>
    <row r="86" spans="1:11" ht="15.6">
      <c r="A86" s="425">
        <v>45902</v>
      </c>
      <c r="B86" s="131" t="s">
        <v>2881</v>
      </c>
      <c r="C86" s="131" t="s">
        <v>123</v>
      </c>
      <c r="D86" s="311" t="s">
        <v>116</v>
      </c>
      <c r="E86" s="131">
        <v>125000</v>
      </c>
      <c r="F86" s="131"/>
      <c r="G86" s="182"/>
      <c r="H86" s="183">
        <f t="shared" si="2"/>
        <v>205620</v>
      </c>
      <c r="I86" s="432" t="s">
        <v>199</v>
      </c>
      <c r="J86" s="426" t="s">
        <v>2909</v>
      </c>
      <c r="K86" s="185"/>
    </row>
    <row r="87" spans="1:11" ht="15.6">
      <c r="A87" s="425">
        <v>45905</v>
      </c>
      <c r="B87" s="426" t="s">
        <v>2881</v>
      </c>
      <c r="C87" s="426" t="s">
        <v>123</v>
      </c>
      <c r="D87" s="311" t="s">
        <v>116</v>
      </c>
      <c r="E87" s="131">
        <v>84000</v>
      </c>
      <c r="F87" s="131"/>
      <c r="G87" s="182"/>
      <c r="H87" s="183">
        <f t="shared" si="2"/>
        <v>289620</v>
      </c>
      <c r="I87" s="432" t="s">
        <v>199</v>
      </c>
      <c r="J87" s="426" t="s">
        <v>2910</v>
      </c>
      <c r="K87" s="185"/>
    </row>
    <row r="88" spans="1:11" ht="15.6">
      <c r="A88" s="425">
        <v>45906</v>
      </c>
      <c r="B88" s="426" t="s">
        <v>2419</v>
      </c>
      <c r="C88" s="426" t="s">
        <v>173</v>
      </c>
      <c r="D88" s="311" t="s">
        <v>116</v>
      </c>
      <c r="E88" s="131"/>
      <c r="F88" s="131">
        <v>500</v>
      </c>
      <c r="G88" s="182"/>
      <c r="H88" s="183">
        <f t="shared" si="2"/>
        <v>289120</v>
      </c>
      <c r="I88" s="432" t="s">
        <v>199</v>
      </c>
      <c r="J88" s="426" t="s">
        <v>2911</v>
      </c>
      <c r="K88" s="185"/>
    </row>
    <row r="89" spans="1:11" ht="15.6">
      <c r="A89" s="425">
        <v>45906</v>
      </c>
      <c r="B89" s="426" t="s">
        <v>2418</v>
      </c>
      <c r="C89" s="426" t="s">
        <v>173</v>
      </c>
      <c r="D89" s="311" t="s">
        <v>116</v>
      </c>
      <c r="E89" s="131"/>
      <c r="F89" s="131">
        <v>500</v>
      </c>
      <c r="G89" s="182"/>
      <c r="H89" s="183">
        <f t="shared" si="2"/>
        <v>288620</v>
      </c>
      <c r="I89" s="432" t="s">
        <v>199</v>
      </c>
      <c r="J89" s="426" t="s">
        <v>2911</v>
      </c>
      <c r="K89" s="185"/>
    </row>
    <row r="90" spans="1:11" ht="15.6">
      <c r="A90" s="425">
        <v>45907</v>
      </c>
      <c r="B90" s="426" t="s">
        <v>2419</v>
      </c>
      <c r="C90" s="426" t="s">
        <v>173</v>
      </c>
      <c r="D90" s="311" t="s">
        <v>116</v>
      </c>
      <c r="E90" s="131"/>
      <c r="F90" s="131">
        <v>500</v>
      </c>
      <c r="G90" s="182"/>
      <c r="H90" s="183">
        <f t="shared" si="2"/>
        <v>288120</v>
      </c>
      <c r="I90" s="432" t="s">
        <v>199</v>
      </c>
      <c r="J90" s="426" t="s">
        <v>2911</v>
      </c>
      <c r="K90" s="185"/>
    </row>
    <row r="91" spans="1:11" ht="15.6">
      <c r="A91" s="425">
        <v>45907</v>
      </c>
      <c r="B91" s="426" t="s">
        <v>2418</v>
      </c>
      <c r="C91" s="426" t="s">
        <v>173</v>
      </c>
      <c r="D91" s="311" t="s">
        <v>116</v>
      </c>
      <c r="E91" s="131"/>
      <c r="F91" s="131">
        <v>500</v>
      </c>
      <c r="G91" s="182"/>
      <c r="H91" s="183">
        <f t="shared" si="2"/>
        <v>287620</v>
      </c>
      <c r="I91" s="432" t="s">
        <v>199</v>
      </c>
      <c r="J91" s="426" t="s">
        <v>2911</v>
      </c>
      <c r="K91" s="185"/>
    </row>
    <row r="92" spans="1:11" ht="15.6">
      <c r="A92" s="425">
        <v>45907</v>
      </c>
      <c r="B92" s="426" t="s">
        <v>2882</v>
      </c>
      <c r="C92" s="426" t="s">
        <v>173</v>
      </c>
      <c r="D92" s="311" t="s">
        <v>116</v>
      </c>
      <c r="E92" s="131"/>
      <c r="F92" s="131">
        <v>50000</v>
      </c>
      <c r="G92" s="182"/>
      <c r="H92" s="183">
        <f t="shared" si="2"/>
        <v>237620</v>
      </c>
      <c r="I92" s="432" t="s">
        <v>199</v>
      </c>
      <c r="J92" s="426" t="s">
        <v>2912</v>
      </c>
      <c r="K92" s="185"/>
    </row>
    <row r="93" spans="1:11" ht="15.6">
      <c r="A93" s="425">
        <v>45907</v>
      </c>
      <c r="B93" s="426" t="s">
        <v>2883</v>
      </c>
      <c r="C93" s="426" t="s">
        <v>2391</v>
      </c>
      <c r="D93" s="311" t="s">
        <v>116</v>
      </c>
      <c r="E93" s="131"/>
      <c r="F93" s="131">
        <v>24400</v>
      </c>
      <c r="G93" s="182"/>
      <c r="H93" s="183">
        <f t="shared" si="2"/>
        <v>213220</v>
      </c>
      <c r="I93" s="432" t="s">
        <v>199</v>
      </c>
      <c r="J93" s="426" t="s">
        <v>2913</v>
      </c>
      <c r="K93" s="185"/>
    </row>
    <row r="94" spans="1:11" ht="15.6">
      <c r="A94" s="427">
        <v>45908</v>
      </c>
      <c r="B94" s="426" t="s">
        <v>2884</v>
      </c>
      <c r="C94" s="426" t="s">
        <v>2391</v>
      </c>
      <c r="D94" s="311" t="s">
        <v>116</v>
      </c>
      <c r="E94" s="428"/>
      <c r="F94" s="426">
        <v>27500</v>
      </c>
      <c r="G94" s="182"/>
      <c r="H94" s="183">
        <f t="shared" si="2"/>
        <v>185720</v>
      </c>
      <c r="I94" s="311" t="s">
        <v>199</v>
      </c>
      <c r="J94" s="426" t="s">
        <v>2914</v>
      </c>
      <c r="K94" s="185"/>
    </row>
    <row r="95" spans="1:11" ht="15.6">
      <c r="A95" s="427">
        <v>45908</v>
      </c>
      <c r="B95" s="181" t="s">
        <v>2885</v>
      </c>
      <c r="C95" s="243" t="s">
        <v>151</v>
      </c>
      <c r="D95" s="243" t="s">
        <v>116</v>
      </c>
      <c r="E95" s="429">
        <v>10000</v>
      </c>
      <c r="F95" s="426"/>
      <c r="G95" s="182"/>
      <c r="H95" s="183">
        <f t="shared" si="2"/>
        <v>195720</v>
      </c>
      <c r="I95" s="311" t="s">
        <v>199</v>
      </c>
      <c r="J95" s="426" t="s">
        <v>2914</v>
      </c>
      <c r="K95" s="185"/>
    </row>
    <row r="96" spans="1:11" ht="15.6">
      <c r="A96" s="427">
        <v>45908</v>
      </c>
      <c r="B96" s="181" t="s">
        <v>2885</v>
      </c>
      <c r="C96" s="243" t="s">
        <v>151</v>
      </c>
      <c r="D96" s="243" t="s">
        <v>116</v>
      </c>
      <c r="E96" s="428"/>
      <c r="F96" s="426">
        <v>10000</v>
      </c>
      <c r="G96" s="182"/>
      <c r="H96" s="183">
        <f t="shared" si="2"/>
        <v>185720</v>
      </c>
      <c r="I96" s="311" t="s">
        <v>199</v>
      </c>
      <c r="J96" s="426" t="s">
        <v>2915</v>
      </c>
      <c r="K96" s="185"/>
    </row>
    <row r="97" spans="1:11" ht="15.6">
      <c r="A97" s="425">
        <v>45909</v>
      </c>
      <c r="B97" s="426" t="s">
        <v>2886</v>
      </c>
      <c r="C97" s="426" t="s">
        <v>173</v>
      </c>
      <c r="D97" s="311" t="s">
        <v>116</v>
      </c>
      <c r="E97" s="131"/>
      <c r="F97" s="131">
        <v>500</v>
      </c>
      <c r="G97" s="182"/>
      <c r="H97" s="183">
        <f t="shared" si="2"/>
        <v>185220</v>
      </c>
      <c r="I97" s="432" t="s">
        <v>199</v>
      </c>
      <c r="J97" s="426" t="s">
        <v>2911</v>
      </c>
      <c r="K97" s="185"/>
    </row>
    <row r="98" spans="1:11" ht="15.6">
      <c r="A98" s="425">
        <v>45909</v>
      </c>
      <c r="B98" s="426" t="s">
        <v>2418</v>
      </c>
      <c r="C98" s="426" t="s">
        <v>173</v>
      </c>
      <c r="D98" s="311" t="s">
        <v>116</v>
      </c>
      <c r="E98" s="131"/>
      <c r="F98" s="131">
        <v>500</v>
      </c>
      <c r="G98" s="182"/>
      <c r="H98" s="183">
        <f t="shared" si="2"/>
        <v>184720</v>
      </c>
      <c r="I98" s="432" t="s">
        <v>199</v>
      </c>
      <c r="J98" s="426" t="s">
        <v>2911</v>
      </c>
      <c r="K98" s="185"/>
    </row>
    <row r="99" spans="1:11" ht="15.6">
      <c r="A99" s="425">
        <v>45909</v>
      </c>
      <c r="B99" s="426" t="s">
        <v>2881</v>
      </c>
      <c r="C99" s="426" t="s">
        <v>123</v>
      </c>
      <c r="D99" s="311" t="s">
        <v>116</v>
      </c>
      <c r="E99" s="131">
        <v>100000</v>
      </c>
      <c r="F99" s="131"/>
      <c r="G99" s="182"/>
      <c r="H99" s="183">
        <f t="shared" si="2"/>
        <v>284720</v>
      </c>
      <c r="I99" s="432" t="s">
        <v>199</v>
      </c>
      <c r="J99" s="426" t="s">
        <v>2916</v>
      </c>
      <c r="K99" s="185"/>
    </row>
    <row r="100" spans="1:11" ht="15.6">
      <c r="A100" s="425">
        <v>45910</v>
      </c>
      <c r="B100" s="426" t="s">
        <v>2881</v>
      </c>
      <c r="C100" s="426" t="s">
        <v>123</v>
      </c>
      <c r="D100" s="311" t="s">
        <v>116</v>
      </c>
      <c r="E100" s="131">
        <v>106000</v>
      </c>
      <c r="F100" s="131"/>
      <c r="G100" s="182"/>
      <c r="H100" s="183">
        <f t="shared" si="2"/>
        <v>390720</v>
      </c>
      <c r="I100" s="432" t="s">
        <v>199</v>
      </c>
      <c r="J100" s="426" t="s">
        <v>2917</v>
      </c>
      <c r="K100" s="185"/>
    </row>
    <row r="101" spans="1:11" ht="15.6">
      <c r="A101" s="425">
        <v>45911</v>
      </c>
      <c r="B101" s="426" t="s">
        <v>2887</v>
      </c>
      <c r="C101" s="426" t="s">
        <v>173</v>
      </c>
      <c r="D101" s="311" t="s">
        <v>116</v>
      </c>
      <c r="E101" s="131"/>
      <c r="F101" s="131">
        <v>500</v>
      </c>
      <c r="G101" s="182"/>
      <c r="H101" s="183">
        <f t="shared" si="2"/>
        <v>390220</v>
      </c>
      <c r="I101" s="432" t="s">
        <v>199</v>
      </c>
      <c r="J101" s="426" t="s">
        <v>2911</v>
      </c>
      <c r="K101" s="185"/>
    </row>
    <row r="102" spans="1:11" ht="15.6">
      <c r="A102" s="425">
        <v>45911</v>
      </c>
      <c r="B102" s="426" t="s">
        <v>2888</v>
      </c>
      <c r="C102" s="426" t="s">
        <v>173</v>
      </c>
      <c r="D102" s="311" t="s">
        <v>116</v>
      </c>
      <c r="E102" s="131"/>
      <c r="F102" s="131">
        <v>500</v>
      </c>
      <c r="G102" s="182"/>
      <c r="H102" s="183">
        <f t="shared" si="2"/>
        <v>389720</v>
      </c>
      <c r="I102" s="432" t="s">
        <v>199</v>
      </c>
      <c r="J102" s="426" t="s">
        <v>2911</v>
      </c>
      <c r="K102" s="185"/>
    </row>
    <row r="103" spans="1:11" ht="15.6">
      <c r="A103" s="425">
        <v>45912</v>
      </c>
      <c r="B103" s="426" t="s">
        <v>3624</v>
      </c>
      <c r="C103" s="426" t="s">
        <v>2391</v>
      </c>
      <c r="D103" s="311" t="s">
        <v>116</v>
      </c>
      <c r="E103" s="131"/>
      <c r="F103" s="131">
        <v>270000</v>
      </c>
      <c r="G103" s="182"/>
      <c r="H103" s="183">
        <f t="shared" si="2"/>
        <v>119720</v>
      </c>
      <c r="I103" s="432" t="s">
        <v>199</v>
      </c>
      <c r="J103" s="426" t="s">
        <v>2918</v>
      </c>
      <c r="K103" s="185"/>
    </row>
    <row r="104" spans="1:11" ht="15.6">
      <c r="A104" s="425">
        <v>45912</v>
      </c>
      <c r="B104" s="426" t="s">
        <v>2889</v>
      </c>
      <c r="C104" s="426" t="s">
        <v>173</v>
      </c>
      <c r="D104" s="311" t="s">
        <v>116</v>
      </c>
      <c r="E104" s="131"/>
      <c r="F104" s="131">
        <v>500</v>
      </c>
      <c r="G104" s="182"/>
      <c r="H104" s="183">
        <f t="shared" si="2"/>
        <v>119220</v>
      </c>
      <c r="I104" s="432" t="s">
        <v>199</v>
      </c>
      <c r="J104" s="426" t="s">
        <v>2911</v>
      </c>
      <c r="K104" s="185"/>
    </row>
    <row r="105" spans="1:11" ht="15.6">
      <c r="A105" s="425">
        <v>45912</v>
      </c>
      <c r="B105" s="426" t="s">
        <v>2890</v>
      </c>
      <c r="C105" s="426" t="s">
        <v>173</v>
      </c>
      <c r="D105" s="311" t="s">
        <v>116</v>
      </c>
      <c r="E105" s="131"/>
      <c r="F105" s="131">
        <v>37000</v>
      </c>
      <c r="G105" s="182"/>
      <c r="H105" s="183">
        <f t="shared" si="2"/>
        <v>82220</v>
      </c>
      <c r="I105" s="432" t="s">
        <v>199</v>
      </c>
      <c r="J105" s="426" t="s">
        <v>2919</v>
      </c>
      <c r="K105" s="185"/>
    </row>
    <row r="106" spans="1:11" ht="15.6">
      <c r="A106" s="425">
        <v>45913</v>
      </c>
      <c r="B106" s="426" t="s">
        <v>3625</v>
      </c>
      <c r="C106" s="426" t="s">
        <v>2391</v>
      </c>
      <c r="D106" s="311" t="s">
        <v>116</v>
      </c>
      <c r="E106" s="131"/>
      <c r="F106" s="131">
        <v>15000</v>
      </c>
      <c r="G106" s="182"/>
      <c r="H106" s="183">
        <f t="shared" si="2"/>
        <v>67220</v>
      </c>
      <c r="I106" s="432" t="s">
        <v>199</v>
      </c>
      <c r="J106" s="426" t="s">
        <v>2920</v>
      </c>
      <c r="K106" s="185"/>
    </row>
    <row r="107" spans="1:11" ht="15.6">
      <c r="A107" s="425">
        <v>45914</v>
      </c>
      <c r="B107" s="426" t="s">
        <v>3614</v>
      </c>
      <c r="C107" s="426" t="s">
        <v>2391</v>
      </c>
      <c r="D107" s="311" t="s">
        <v>116</v>
      </c>
      <c r="E107" s="131"/>
      <c r="F107" s="131">
        <v>15000</v>
      </c>
      <c r="G107" s="182"/>
      <c r="H107" s="183">
        <f t="shared" si="2"/>
        <v>52220</v>
      </c>
      <c r="I107" s="432" t="s">
        <v>199</v>
      </c>
      <c r="J107" s="426" t="s">
        <v>2921</v>
      </c>
      <c r="K107" s="185"/>
    </row>
    <row r="108" spans="1:11" ht="15.6">
      <c r="A108" s="425">
        <v>45914</v>
      </c>
      <c r="B108" s="426" t="s">
        <v>2891</v>
      </c>
      <c r="C108" s="426" t="s">
        <v>173</v>
      </c>
      <c r="D108" s="311" t="s">
        <v>116</v>
      </c>
      <c r="E108" s="131"/>
      <c r="F108" s="131">
        <v>3500</v>
      </c>
      <c r="G108" s="182"/>
      <c r="H108" s="183">
        <f t="shared" si="2"/>
        <v>48720</v>
      </c>
      <c r="I108" s="432" t="s">
        <v>199</v>
      </c>
      <c r="J108" s="426" t="s">
        <v>2911</v>
      </c>
      <c r="K108" s="185"/>
    </row>
    <row r="109" spans="1:11" ht="15.6">
      <c r="A109" s="425">
        <v>45916</v>
      </c>
      <c r="B109" s="426" t="s">
        <v>2892</v>
      </c>
      <c r="C109" s="426" t="s">
        <v>173</v>
      </c>
      <c r="D109" s="311" t="s">
        <v>116</v>
      </c>
      <c r="E109" s="131"/>
      <c r="F109" s="131">
        <v>1500</v>
      </c>
      <c r="G109" s="182"/>
      <c r="H109" s="183">
        <f t="shared" si="2"/>
        <v>47220</v>
      </c>
      <c r="I109" s="432" t="s">
        <v>199</v>
      </c>
      <c r="J109" s="426" t="s">
        <v>2911</v>
      </c>
      <c r="K109" s="185"/>
    </row>
    <row r="110" spans="1:11" ht="15.6">
      <c r="A110" s="425">
        <v>45916</v>
      </c>
      <c r="B110" s="426" t="s">
        <v>2893</v>
      </c>
      <c r="C110" s="426" t="s">
        <v>173</v>
      </c>
      <c r="D110" s="311" t="s">
        <v>116</v>
      </c>
      <c r="E110" s="131"/>
      <c r="F110" s="131">
        <v>1500</v>
      </c>
      <c r="G110" s="182"/>
      <c r="H110" s="183">
        <f t="shared" si="2"/>
        <v>45720</v>
      </c>
      <c r="I110" s="432" t="s">
        <v>199</v>
      </c>
      <c r="J110" s="426" t="s">
        <v>2911</v>
      </c>
      <c r="K110" s="185"/>
    </row>
    <row r="111" spans="1:11" ht="15.6">
      <c r="A111" s="425">
        <v>45917</v>
      </c>
      <c r="B111" s="181" t="s">
        <v>2894</v>
      </c>
      <c r="C111" s="243" t="s">
        <v>151</v>
      </c>
      <c r="D111" s="243" t="s">
        <v>116</v>
      </c>
      <c r="E111" s="131">
        <v>10000</v>
      </c>
      <c r="F111" s="131"/>
      <c r="G111" s="182"/>
      <c r="H111" s="183">
        <f t="shared" si="2"/>
        <v>55720</v>
      </c>
      <c r="I111" s="432" t="s">
        <v>199</v>
      </c>
      <c r="J111" s="426" t="s">
        <v>2922</v>
      </c>
      <c r="K111" s="185"/>
    </row>
    <row r="112" spans="1:11" ht="15.6">
      <c r="A112" s="425">
        <v>45917</v>
      </c>
      <c r="B112" s="181" t="s">
        <v>2894</v>
      </c>
      <c r="C112" s="243" t="s">
        <v>151</v>
      </c>
      <c r="D112" s="243" t="s">
        <v>116</v>
      </c>
      <c r="E112" s="131"/>
      <c r="F112" s="131">
        <v>10000</v>
      </c>
      <c r="G112" s="182"/>
      <c r="H112" s="183">
        <f t="shared" si="2"/>
        <v>45720</v>
      </c>
      <c r="I112" s="432" t="s">
        <v>199</v>
      </c>
      <c r="J112" s="426" t="s">
        <v>2922</v>
      </c>
      <c r="K112" s="185"/>
    </row>
    <row r="113" spans="1:11" ht="15.6">
      <c r="A113" s="430">
        <v>45917</v>
      </c>
      <c r="B113" s="127" t="s">
        <v>2895</v>
      </c>
      <c r="C113" s="76" t="s">
        <v>264</v>
      </c>
      <c r="D113" s="76" t="s">
        <v>2414</v>
      </c>
      <c r="E113" s="431">
        <v>35000</v>
      </c>
      <c r="F113" s="131"/>
      <c r="G113" s="182"/>
      <c r="H113" s="183">
        <f t="shared" si="2"/>
        <v>80720</v>
      </c>
      <c r="I113" s="432" t="s">
        <v>199</v>
      </c>
      <c r="J113" s="433" t="s">
        <v>2923</v>
      </c>
      <c r="K113" s="185"/>
    </row>
    <row r="114" spans="1:11" ht="15.6">
      <c r="A114" s="430">
        <v>45917</v>
      </c>
      <c r="B114" s="127" t="s">
        <v>2895</v>
      </c>
      <c r="C114" s="76" t="s">
        <v>264</v>
      </c>
      <c r="D114" s="76" t="s">
        <v>2414</v>
      </c>
      <c r="E114" s="431"/>
      <c r="F114" s="431">
        <v>35000</v>
      </c>
      <c r="G114" s="182"/>
      <c r="H114" s="183">
        <f t="shared" si="2"/>
        <v>45720</v>
      </c>
      <c r="I114" s="127" t="s">
        <v>1508</v>
      </c>
      <c r="J114" s="433" t="s">
        <v>2923</v>
      </c>
      <c r="K114" s="185"/>
    </row>
    <row r="115" spans="1:11" ht="15.6">
      <c r="A115" s="425">
        <v>45927</v>
      </c>
      <c r="B115" s="426" t="s">
        <v>2896</v>
      </c>
      <c r="C115" s="426" t="s">
        <v>173</v>
      </c>
      <c r="D115" s="311" t="s">
        <v>116</v>
      </c>
      <c r="E115" s="131"/>
      <c r="F115" s="131">
        <v>1500</v>
      </c>
      <c r="G115" s="182"/>
      <c r="H115" s="183">
        <f t="shared" si="2"/>
        <v>44220</v>
      </c>
      <c r="I115" s="432" t="s">
        <v>199</v>
      </c>
      <c r="J115" s="426" t="s">
        <v>2911</v>
      </c>
      <c r="K115" s="185"/>
    </row>
    <row r="116" spans="1:11" ht="15.6">
      <c r="A116" s="425">
        <v>45927</v>
      </c>
      <c r="B116" s="426" t="s">
        <v>2897</v>
      </c>
      <c r="C116" s="426" t="s">
        <v>173</v>
      </c>
      <c r="D116" s="311" t="s">
        <v>116</v>
      </c>
      <c r="E116" s="131"/>
      <c r="F116" s="131">
        <v>1000</v>
      </c>
      <c r="G116" s="182"/>
      <c r="H116" s="183">
        <f t="shared" si="2"/>
        <v>43220</v>
      </c>
      <c r="I116" s="432" t="s">
        <v>199</v>
      </c>
      <c r="J116" s="426" t="s">
        <v>2911</v>
      </c>
      <c r="K116" s="185"/>
    </row>
    <row r="117" spans="1:11" ht="15.6">
      <c r="A117" s="425">
        <v>45927</v>
      </c>
      <c r="B117" s="426" t="s">
        <v>2898</v>
      </c>
      <c r="C117" s="426" t="s">
        <v>173</v>
      </c>
      <c r="D117" s="311" t="s">
        <v>116</v>
      </c>
      <c r="E117" s="131"/>
      <c r="F117" s="131">
        <v>1000</v>
      </c>
      <c r="G117" s="182"/>
      <c r="H117" s="183">
        <f t="shared" si="2"/>
        <v>42220</v>
      </c>
      <c r="I117" s="432" t="s">
        <v>199</v>
      </c>
      <c r="J117" s="426" t="s">
        <v>2911</v>
      </c>
      <c r="K117" s="185"/>
    </row>
    <row r="118" spans="1:11" ht="15.6">
      <c r="A118" s="425">
        <v>45927</v>
      </c>
      <c r="B118" s="426" t="s">
        <v>2239</v>
      </c>
      <c r="C118" s="426" t="s">
        <v>173</v>
      </c>
      <c r="D118" s="311" t="s">
        <v>116</v>
      </c>
      <c r="E118" s="131"/>
      <c r="F118" s="131">
        <v>1500</v>
      </c>
      <c r="G118" s="182"/>
      <c r="H118" s="183">
        <f t="shared" si="2"/>
        <v>40720</v>
      </c>
      <c r="I118" s="432" t="s">
        <v>199</v>
      </c>
      <c r="J118" s="426" t="s">
        <v>2911</v>
      </c>
      <c r="K118" s="185"/>
    </row>
    <row r="119" spans="1:11" ht="15.6">
      <c r="A119" s="425">
        <v>45928</v>
      </c>
      <c r="B119" s="426" t="s">
        <v>2899</v>
      </c>
      <c r="C119" s="426" t="s">
        <v>173</v>
      </c>
      <c r="D119" s="311" t="s">
        <v>116</v>
      </c>
      <c r="E119" s="131"/>
      <c r="F119" s="131">
        <v>1500</v>
      </c>
      <c r="G119" s="182"/>
      <c r="H119" s="183">
        <f t="shared" si="2"/>
        <v>39220</v>
      </c>
      <c r="I119" s="432" t="s">
        <v>199</v>
      </c>
      <c r="J119" s="426" t="s">
        <v>2911</v>
      </c>
      <c r="K119" s="185"/>
    </row>
    <row r="120" spans="1:11" ht="15.6">
      <c r="A120" s="425">
        <v>45928</v>
      </c>
      <c r="B120" s="426" t="s">
        <v>2897</v>
      </c>
      <c r="C120" s="426" t="s">
        <v>173</v>
      </c>
      <c r="D120" s="311" t="s">
        <v>116</v>
      </c>
      <c r="E120" s="131"/>
      <c r="F120" s="131">
        <v>1000</v>
      </c>
      <c r="G120" s="182"/>
      <c r="H120" s="183">
        <f t="shared" si="2"/>
        <v>38220</v>
      </c>
      <c r="I120" s="432" t="s">
        <v>199</v>
      </c>
      <c r="J120" s="426" t="s">
        <v>2911</v>
      </c>
      <c r="K120" s="185"/>
    </row>
    <row r="121" spans="1:11" ht="15.6">
      <c r="A121" s="425">
        <v>45928</v>
      </c>
      <c r="B121" s="426" t="s">
        <v>2900</v>
      </c>
      <c r="C121" s="426" t="s">
        <v>173</v>
      </c>
      <c r="D121" s="311" t="s">
        <v>116</v>
      </c>
      <c r="E121" s="131"/>
      <c r="F121" s="131">
        <v>1000</v>
      </c>
      <c r="G121" s="182"/>
      <c r="H121" s="183">
        <f t="shared" si="2"/>
        <v>37220</v>
      </c>
      <c r="I121" s="432" t="s">
        <v>199</v>
      </c>
      <c r="J121" s="426" t="s">
        <v>2911</v>
      </c>
      <c r="K121" s="185"/>
    </row>
    <row r="122" spans="1:11" ht="15.6">
      <c r="A122" s="425">
        <v>45928</v>
      </c>
      <c r="B122" s="426" t="s">
        <v>2901</v>
      </c>
      <c r="C122" s="426" t="s">
        <v>173</v>
      </c>
      <c r="D122" s="311" t="s">
        <v>116</v>
      </c>
      <c r="E122" s="131"/>
      <c r="F122" s="131">
        <v>1000</v>
      </c>
      <c r="G122" s="216"/>
      <c r="H122" s="183">
        <f t="shared" si="2"/>
        <v>36220</v>
      </c>
      <c r="I122" s="432" t="s">
        <v>199</v>
      </c>
      <c r="J122" s="426" t="s">
        <v>2911</v>
      </c>
      <c r="K122" s="196"/>
    </row>
    <row r="123" spans="1:11" ht="15.6">
      <c r="A123" s="425">
        <v>45928</v>
      </c>
      <c r="B123" s="426" t="s">
        <v>2881</v>
      </c>
      <c r="C123" s="426" t="s">
        <v>123</v>
      </c>
      <c r="D123" s="311" t="s">
        <v>116</v>
      </c>
      <c r="E123" s="131">
        <v>385000</v>
      </c>
      <c r="F123" s="131"/>
      <c r="G123" s="216"/>
      <c r="H123" s="183">
        <f t="shared" si="2"/>
        <v>421220</v>
      </c>
      <c r="I123" s="432" t="s">
        <v>199</v>
      </c>
      <c r="J123" s="426" t="s">
        <v>2924</v>
      </c>
      <c r="K123" s="196"/>
    </row>
    <row r="124" spans="1:11" ht="15.6">
      <c r="A124" s="425">
        <v>45928</v>
      </c>
      <c r="B124" s="426" t="s">
        <v>2898</v>
      </c>
      <c r="C124" s="426" t="s">
        <v>173</v>
      </c>
      <c r="D124" s="311" t="s">
        <v>116</v>
      </c>
      <c r="E124" s="131"/>
      <c r="F124" s="131">
        <v>1000</v>
      </c>
      <c r="G124" s="216"/>
      <c r="H124" s="183">
        <f t="shared" si="2"/>
        <v>420220</v>
      </c>
      <c r="I124" s="432" t="s">
        <v>199</v>
      </c>
      <c r="J124" s="426" t="s">
        <v>2911</v>
      </c>
      <c r="K124" s="196"/>
    </row>
    <row r="125" spans="1:11" ht="15.6">
      <c r="A125" s="425">
        <v>45928</v>
      </c>
      <c r="B125" s="426" t="s">
        <v>2902</v>
      </c>
      <c r="C125" s="426" t="s">
        <v>173</v>
      </c>
      <c r="D125" s="311" t="s">
        <v>116</v>
      </c>
      <c r="E125" s="131"/>
      <c r="F125" s="131">
        <v>1500</v>
      </c>
      <c r="G125" s="216"/>
      <c r="H125" s="183">
        <f t="shared" si="2"/>
        <v>418720</v>
      </c>
      <c r="I125" s="432" t="s">
        <v>199</v>
      </c>
      <c r="J125" s="426" t="s">
        <v>2911</v>
      </c>
      <c r="K125" s="196"/>
    </row>
    <row r="126" spans="1:11" ht="15.6">
      <c r="A126" s="425">
        <v>45928</v>
      </c>
      <c r="B126" s="426" t="s">
        <v>2903</v>
      </c>
      <c r="C126" s="426" t="s">
        <v>173</v>
      </c>
      <c r="D126" s="311" t="s">
        <v>116</v>
      </c>
      <c r="E126" s="131"/>
      <c r="F126" s="131">
        <v>9000</v>
      </c>
      <c r="G126" s="216"/>
      <c r="H126" s="183">
        <f t="shared" si="2"/>
        <v>409720</v>
      </c>
      <c r="I126" s="432" t="s">
        <v>199</v>
      </c>
      <c r="J126" s="426" t="s">
        <v>2925</v>
      </c>
      <c r="K126" s="196"/>
    </row>
    <row r="127" spans="1:11" ht="15.6">
      <c r="A127" s="425">
        <v>45929</v>
      </c>
      <c r="B127" s="181" t="s">
        <v>2904</v>
      </c>
      <c r="C127" s="243" t="s">
        <v>151</v>
      </c>
      <c r="D127" s="243" t="s">
        <v>116</v>
      </c>
      <c r="E127" s="131">
        <v>10000</v>
      </c>
      <c r="F127" s="131"/>
      <c r="G127" s="216"/>
      <c r="H127" s="183">
        <f t="shared" si="2"/>
        <v>419720</v>
      </c>
      <c r="I127" s="432" t="s">
        <v>199</v>
      </c>
      <c r="J127" s="426" t="s">
        <v>2926</v>
      </c>
      <c r="K127" s="196"/>
    </row>
    <row r="128" spans="1:11" ht="15.6">
      <c r="A128" s="425">
        <v>45929</v>
      </c>
      <c r="B128" s="181" t="s">
        <v>2904</v>
      </c>
      <c r="C128" s="243" t="s">
        <v>151</v>
      </c>
      <c r="D128" s="243" t="s">
        <v>116</v>
      </c>
      <c r="E128" s="131"/>
      <c r="F128" s="131">
        <v>10000</v>
      </c>
      <c r="G128" s="216"/>
      <c r="H128" s="183">
        <f t="shared" si="2"/>
        <v>409720</v>
      </c>
      <c r="I128" s="432" t="s">
        <v>199</v>
      </c>
      <c r="J128" s="426" t="s">
        <v>2926</v>
      </c>
      <c r="K128" s="196"/>
    </row>
    <row r="129" spans="1:11" ht="15.6">
      <c r="A129" s="425">
        <v>45929</v>
      </c>
      <c r="B129" s="426" t="s">
        <v>2905</v>
      </c>
      <c r="C129" s="426" t="s">
        <v>2391</v>
      </c>
      <c r="D129" s="311" t="s">
        <v>116</v>
      </c>
      <c r="E129" s="131"/>
      <c r="F129" s="131">
        <v>60000</v>
      </c>
      <c r="G129" s="216"/>
      <c r="H129" s="183">
        <f t="shared" si="2"/>
        <v>349720</v>
      </c>
      <c r="I129" s="432" t="s">
        <v>199</v>
      </c>
      <c r="J129" s="426" t="s">
        <v>2927</v>
      </c>
      <c r="K129" s="196"/>
    </row>
    <row r="130" spans="1:11" ht="15.6">
      <c r="A130" s="425">
        <v>45929</v>
      </c>
      <c r="B130" s="426" t="s">
        <v>2906</v>
      </c>
      <c r="C130" s="426" t="s">
        <v>173</v>
      </c>
      <c r="D130" s="311" t="s">
        <v>116</v>
      </c>
      <c r="E130" s="131"/>
      <c r="F130" s="131">
        <v>2500</v>
      </c>
      <c r="G130" s="216"/>
      <c r="H130" s="183">
        <f t="shared" si="2"/>
        <v>347220</v>
      </c>
      <c r="I130" s="432" t="s">
        <v>199</v>
      </c>
      <c r="J130" s="426" t="s">
        <v>2911</v>
      </c>
      <c r="K130" s="196"/>
    </row>
    <row r="131" spans="1:11" ht="15.6">
      <c r="A131" s="197"/>
      <c r="B131" s="185"/>
      <c r="C131" s="185"/>
      <c r="D131" s="185"/>
      <c r="E131" s="198">
        <f>SUM(E83:E130)</f>
        <v>875000</v>
      </c>
      <c r="F131" s="198">
        <f>SUM(F83:F130)</f>
        <v>728400</v>
      </c>
      <c r="G131" s="198"/>
      <c r="H131" s="190">
        <f>+E131-F131+H82</f>
        <v>347220</v>
      </c>
      <c r="I131" s="185"/>
      <c r="J131" s="185"/>
      <c r="K131" s="185"/>
    </row>
    <row r="132" spans="1:11" ht="15.6">
      <c r="A132" s="197"/>
      <c r="B132" s="185"/>
      <c r="C132" s="185"/>
      <c r="D132" s="185"/>
      <c r="E132" s="189"/>
      <c r="F132" s="189"/>
      <c r="G132" s="189"/>
      <c r="H132" s="190"/>
      <c r="I132" s="185"/>
      <c r="J132" s="185"/>
      <c r="K132" s="185"/>
    </row>
    <row r="133" spans="1:11" ht="15.6">
      <c r="A133" s="197"/>
      <c r="B133" s="185"/>
      <c r="C133" s="188" t="s">
        <v>453</v>
      </c>
      <c r="D133" s="185"/>
      <c r="E133" s="189"/>
      <c r="F133" s="189"/>
      <c r="G133" s="189"/>
      <c r="H133" s="190"/>
      <c r="I133" s="185"/>
      <c r="J133" s="185"/>
      <c r="K133" s="185"/>
    </row>
    <row r="134" spans="1:11" ht="15.6">
      <c r="A134" s="197"/>
      <c r="B134" s="185"/>
      <c r="C134" s="185"/>
      <c r="D134" s="185"/>
      <c r="E134" s="189"/>
      <c r="F134" s="189"/>
      <c r="G134" s="189"/>
      <c r="H134" s="190"/>
      <c r="I134" s="185"/>
      <c r="J134" s="185"/>
      <c r="K134" s="185"/>
    </row>
    <row r="135" spans="1:11" ht="15.6">
      <c r="A135" s="199" t="s">
        <v>0</v>
      </c>
      <c r="B135" s="192" t="s">
        <v>445</v>
      </c>
      <c r="C135" s="192" t="s">
        <v>776</v>
      </c>
      <c r="D135" s="192" t="s">
        <v>446</v>
      </c>
      <c r="E135" s="193" t="s">
        <v>448</v>
      </c>
      <c r="F135" s="193" t="s">
        <v>449</v>
      </c>
      <c r="G135" s="193"/>
      <c r="H135" s="200" t="s">
        <v>30</v>
      </c>
      <c r="I135" s="192" t="s">
        <v>450</v>
      </c>
      <c r="J135" s="192" t="s">
        <v>451</v>
      </c>
      <c r="K135" s="195"/>
    </row>
    <row r="136" spans="1:11" ht="15.6">
      <c r="A136" s="173">
        <v>45901</v>
      </c>
      <c r="B136" s="127" t="s">
        <v>2878</v>
      </c>
      <c r="C136" s="186"/>
      <c r="D136" s="186"/>
      <c r="E136" s="186"/>
      <c r="F136" s="186"/>
      <c r="G136" s="186"/>
      <c r="H136" s="201">
        <v>0</v>
      </c>
      <c r="I136" s="186" t="s">
        <v>156</v>
      </c>
      <c r="J136" s="186"/>
      <c r="K136" s="185"/>
    </row>
    <row r="137" spans="1:11" ht="15.6">
      <c r="A137" s="583"/>
      <c r="B137" s="584"/>
      <c r="C137" s="584"/>
      <c r="D137" s="585"/>
      <c r="E137" s="175">
        <f>SUM(E136:E136)</f>
        <v>0</v>
      </c>
      <c r="F137" s="175">
        <f>SUM(F136:F136)</f>
        <v>0</v>
      </c>
      <c r="G137" s="175"/>
      <c r="H137" s="204">
        <f>E137-F137+H136</f>
        <v>0</v>
      </c>
      <c r="I137" s="174"/>
      <c r="J137" s="174"/>
      <c r="K137" s="176"/>
    </row>
    <row r="138" spans="1:11" ht="15.6">
      <c r="A138" s="197"/>
      <c r="B138" s="185"/>
      <c r="C138" s="185"/>
      <c r="D138" s="185"/>
      <c r="E138" s="189"/>
      <c r="F138" s="189"/>
      <c r="G138" s="189"/>
      <c r="H138" s="190"/>
      <c r="I138" s="185"/>
      <c r="J138" s="185"/>
      <c r="K138" s="176"/>
    </row>
    <row r="139" spans="1:11" ht="15.6">
      <c r="A139" s="197"/>
      <c r="B139" s="185"/>
      <c r="C139" s="188" t="s">
        <v>648</v>
      </c>
      <c r="D139" s="185"/>
      <c r="E139" s="189"/>
      <c r="F139" s="189"/>
      <c r="G139" s="189"/>
      <c r="H139" s="190"/>
      <c r="I139" s="185"/>
      <c r="J139" s="185"/>
      <c r="K139" s="176"/>
    </row>
    <row r="140" spans="1:11" ht="15.6">
      <c r="A140" s="197"/>
      <c r="B140" s="185"/>
      <c r="C140" s="185"/>
      <c r="D140" s="185"/>
      <c r="E140" s="189"/>
      <c r="F140" s="189"/>
      <c r="G140" s="189"/>
      <c r="H140" s="190"/>
      <c r="I140" s="185"/>
      <c r="J140" s="185"/>
      <c r="K140" s="176"/>
    </row>
    <row r="141" spans="1:11" ht="15.6">
      <c r="A141" s="199" t="s">
        <v>0</v>
      </c>
      <c r="B141" s="192" t="s">
        <v>445</v>
      </c>
      <c r="C141" s="192" t="s">
        <v>446</v>
      </c>
      <c r="D141" s="192" t="s">
        <v>776</v>
      </c>
      <c r="E141" s="193" t="s">
        <v>448</v>
      </c>
      <c r="F141" s="193" t="s">
        <v>449</v>
      </c>
      <c r="G141" s="193"/>
      <c r="H141" s="200" t="s">
        <v>30</v>
      </c>
      <c r="I141" s="192" t="s">
        <v>450</v>
      </c>
      <c r="J141" s="192" t="s">
        <v>451</v>
      </c>
      <c r="K141" s="176"/>
    </row>
    <row r="142" spans="1:11" ht="15.6">
      <c r="A142" s="173">
        <v>45901</v>
      </c>
      <c r="B142" s="127" t="s">
        <v>2878</v>
      </c>
      <c r="C142" s="186"/>
      <c r="D142" s="186"/>
      <c r="E142" s="186"/>
      <c r="F142" s="186"/>
      <c r="G142" s="186"/>
      <c r="H142" s="183">
        <v>12000</v>
      </c>
      <c r="I142" s="186" t="s">
        <v>583</v>
      </c>
      <c r="J142" s="186"/>
      <c r="K142" s="176"/>
    </row>
    <row r="143" spans="1:11" ht="15.6">
      <c r="A143" s="361">
        <v>45901</v>
      </c>
      <c r="B143" s="223" t="s">
        <v>2928</v>
      </c>
      <c r="C143" s="223" t="s">
        <v>173</v>
      </c>
      <c r="D143" s="223" t="s">
        <v>117</v>
      </c>
      <c r="E143" s="312"/>
      <c r="F143" s="313">
        <v>1000</v>
      </c>
      <c r="G143" s="221"/>
      <c r="H143" s="220">
        <f t="shared" ref="H143:H216" si="3">+H142+E143-F143</f>
        <v>11000</v>
      </c>
      <c r="I143" s="223" t="s">
        <v>583</v>
      </c>
      <c r="J143" s="223" t="s">
        <v>2970</v>
      </c>
      <c r="K143" s="176"/>
    </row>
    <row r="144" spans="1:11" ht="15.6">
      <c r="A144" s="361">
        <v>45901</v>
      </c>
      <c r="B144" s="223" t="s">
        <v>2929</v>
      </c>
      <c r="C144" s="223" t="s">
        <v>173</v>
      </c>
      <c r="D144" s="223" t="s">
        <v>117</v>
      </c>
      <c r="E144" s="312"/>
      <c r="F144" s="313">
        <v>500</v>
      </c>
      <c r="G144" s="219"/>
      <c r="H144" s="220">
        <f t="shared" si="3"/>
        <v>10500</v>
      </c>
      <c r="I144" s="223" t="s">
        <v>583</v>
      </c>
      <c r="J144" s="223" t="s">
        <v>2970</v>
      </c>
      <c r="K144" s="176"/>
    </row>
    <row r="145" spans="1:11" ht="15.6">
      <c r="A145" s="361">
        <v>45901</v>
      </c>
      <c r="B145" s="223" t="s">
        <v>2930</v>
      </c>
      <c r="C145" s="223" t="s">
        <v>173</v>
      </c>
      <c r="D145" s="223" t="s">
        <v>117</v>
      </c>
      <c r="E145" s="312"/>
      <c r="F145" s="313">
        <v>1000</v>
      </c>
      <c r="G145" s="221"/>
      <c r="H145" s="220">
        <f t="shared" si="3"/>
        <v>9500</v>
      </c>
      <c r="I145" s="223" t="s">
        <v>583</v>
      </c>
      <c r="J145" s="223" t="s">
        <v>2970</v>
      </c>
      <c r="K145" s="176"/>
    </row>
    <row r="146" spans="1:11" ht="15.6">
      <c r="A146" s="355">
        <v>45901</v>
      </c>
      <c r="B146" s="223" t="s">
        <v>2931</v>
      </c>
      <c r="C146" s="181" t="s">
        <v>176</v>
      </c>
      <c r="D146" s="181" t="s">
        <v>116</v>
      </c>
      <c r="E146" s="324">
        <v>150000</v>
      </c>
      <c r="F146" s="324"/>
      <c r="G146" s="218"/>
      <c r="H146" s="220">
        <f t="shared" si="3"/>
        <v>159500</v>
      </c>
      <c r="I146" s="223" t="s">
        <v>583</v>
      </c>
      <c r="J146" s="181" t="s">
        <v>2971</v>
      </c>
      <c r="K146" s="176"/>
    </row>
    <row r="147" spans="1:11" ht="15.6">
      <c r="A147" s="355">
        <v>45901</v>
      </c>
      <c r="B147" s="223" t="s">
        <v>2932</v>
      </c>
      <c r="C147" s="181" t="s">
        <v>173</v>
      </c>
      <c r="D147" s="181" t="s">
        <v>116</v>
      </c>
      <c r="E147" s="324">
        <v>12000</v>
      </c>
      <c r="F147" s="324"/>
      <c r="G147" s="218"/>
      <c r="H147" s="220">
        <f t="shared" si="3"/>
        <v>171500</v>
      </c>
      <c r="I147" s="223" t="s">
        <v>583</v>
      </c>
      <c r="J147" s="181" t="s">
        <v>2972</v>
      </c>
      <c r="K147" s="176"/>
    </row>
    <row r="148" spans="1:11" ht="15.6">
      <c r="A148" s="355">
        <v>45901</v>
      </c>
      <c r="B148" s="223" t="s">
        <v>2931</v>
      </c>
      <c r="C148" s="181" t="s">
        <v>176</v>
      </c>
      <c r="D148" s="181" t="s">
        <v>116</v>
      </c>
      <c r="E148" s="312"/>
      <c r="F148" s="324">
        <v>150000</v>
      </c>
      <c r="G148" s="218"/>
      <c r="H148" s="220">
        <f t="shared" si="3"/>
        <v>21500</v>
      </c>
      <c r="I148" s="223" t="s">
        <v>583</v>
      </c>
      <c r="J148" s="181" t="s">
        <v>2971</v>
      </c>
      <c r="K148" s="176"/>
    </row>
    <row r="149" spans="1:11" ht="15.6">
      <c r="A149" s="355">
        <v>45901</v>
      </c>
      <c r="B149" s="223" t="s">
        <v>2932</v>
      </c>
      <c r="C149" s="181" t="s">
        <v>173</v>
      </c>
      <c r="D149" s="181" t="s">
        <v>116</v>
      </c>
      <c r="E149" s="312"/>
      <c r="F149" s="324">
        <v>12000</v>
      </c>
      <c r="G149" s="218"/>
      <c r="H149" s="220">
        <f t="shared" si="3"/>
        <v>9500</v>
      </c>
      <c r="I149" s="223" t="s">
        <v>583</v>
      </c>
      <c r="J149" s="181" t="s">
        <v>2972</v>
      </c>
      <c r="K149" s="176"/>
    </row>
    <row r="150" spans="1:11" ht="15.6">
      <c r="A150" s="361">
        <v>45901</v>
      </c>
      <c r="B150" s="223" t="s">
        <v>2933</v>
      </c>
      <c r="C150" s="223" t="s">
        <v>173</v>
      </c>
      <c r="D150" s="223" t="s">
        <v>117</v>
      </c>
      <c r="E150" s="312"/>
      <c r="F150" s="313">
        <v>500</v>
      </c>
      <c r="G150" s="218"/>
      <c r="H150" s="220">
        <f t="shared" si="3"/>
        <v>9000</v>
      </c>
      <c r="I150" s="223" t="s">
        <v>583</v>
      </c>
      <c r="J150" s="223" t="s">
        <v>2970</v>
      </c>
      <c r="K150" s="176"/>
    </row>
    <row r="151" spans="1:11" ht="15.6">
      <c r="A151" s="355">
        <v>45901</v>
      </c>
      <c r="B151" s="181" t="s">
        <v>2934</v>
      </c>
      <c r="C151" s="223" t="s">
        <v>181</v>
      </c>
      <c r="D151" s="223" t="s">
        <v>117</v>
      </c>
      <c r="E151" s="324">
        <v>9360</v>
      </c>
      <c r="F151" s="313"/>
      <c r="G151" s="218"/>
      <c r="H151" s="220">
        <f t="shared" si="3"/>
        <v>18360</v>
      </c>
      <c r="I151" s="181" t="s">
        <v>583</v>
      </c>
      <c r="J151" s="181" t="s">
        <v>2973</v>
      </c>
      <c r="K151" s="176"/>
    </row>
    <row r="152" spans="1:11" ht="15.6">
      <c r="A152" s="355">
        <v>45901</v>
      </c>
      <c r="B152" s="223" t="s">
        <v>2452</v>
      </c>
      <c r="C152" s="223" t="s">
        <v>181</v>
      </c>
      <c r="D152" s="223" t="s">
        <v>117</v>
      </c>
      <c r="E152" s="312"/>
      <c r="F152" s="324">
        <v>9360</v>
      </c>
      <c r="G152" s="218"/>
      <c r="H152" s="220">
        <f t="shared" si="3"/>
        <v>9000</v>
      </c>
      <c r="I152" s="181" t="s">
        <v>583</v>
      </c>
      <c r="J152" s="181" t="s">
        <v>2973</v>
      </c>
      <c r="K152" s="176"/>
    </row>
    <row r="153" spans="1:11" ht="15.6">
      <c r="A153" s="361">
        <v>45901</v>
      </c>
      <c r="B153" s="223" t="s">
        <v>2452</v>
      </c>
      <c r="C153" s="223" t="s">
        <v>173</v>
      </c>
      <c r="D153" s="223" t="s">
        <v>117</v>
      </c>
      <c r="E153" s="312"/>
      <c r="F153" s="313">
        <v>500</v>
      </c>
      <c r="G153" s="218"/>
      <c r="H153" s="220">
        <f t="shared" si="3"/>
        <v>8500</v>
      </c>
      <c r="I153" s="223" t="s">
        <v>583</v>
      </c>
      <c r="J153" s="223" t="s">
        <v>2970</v>
      </c>
      <c r="K153" s="176"/>
    </row>
    <row r="154" spans="1:11" ht="15.6">
      <c r="A154" s="361">
        <v>45901</v>
      </c>
      <c r="B154" s="223" t="s">
        <v>2935</v>
      </c>
      <c r="C154" s="246" t="s">
        <v>151</v>
      </c>
      <c r="D154" s="223" t="s">
        <v>118</v>
      </c>
      <c r="E154" s="312">
        <v>7500</v>
      </c>
      <c r="F154" s="313"/>
      <c r="G154" s="218"/>
      <c r="H154" s="220">
        <f t="shared" si="3"/>
        <v>16000</v>
      </c>
      <c r="I154" s="223" t="s">
        <v>583</v>
      </c>
      <c r="J154" s="223" t="s">
        <v>2974</v>
      </c>
      <c r="K154" s="176"/>
    </row>
    <row r="155" spans="1:11" ht="15.6">
      <c r="A155" s="361">
        <v>45901</v>
      </c>
      <c r="B155" s="223" t="s">
        <v>2935</v>
      </c>
      <c r="C155" s="246" t="s">
        <v>151</v>
      </c>
      <c r="D155" s="223" t="s">
        <v>118</v>
      </c>
      <c r="E155" s="312"/>
      <c r="F155" s="313">
        <v>7500</v>
      </c>
      <c r="G155" s="218"/>
      <c r="H155" s="220">
        <f t="shared" si="3"/>
        <v>8500</v>
      </c>
      <c r="I155" s="223" t="s">
        <v>583</v>
      </c>
      <c r="J155" s="223" t="s">
        <v>2974</v>
      </c>
      <c r="K155" s="176"/>
    </row>
    <row r="156" spans="1:11" ht="15.6">
      <c r="A156" s="355">
        <v>45902</v>
      </c>
      <c r="B156" s="181" t="s">
        <v>2159</v>
      </c>
      <c r="C156" s="327" t="s">
        <v>122</v>
      </c>
      <c r="D156" s="223" t="s">
        <v>116</v>
      </c>
      <c r="E156" s="324">
        <v>113500</v>
      </c>
      <c r="F156" s="313"/>
      <c r="G156" s="218"/>
      <c r="H156" s="220">
        <f t="shared" si="3"/>
        <v>122000</v>
      </c>
      <c r="I156" s="223" t="s">
        <v>583</v>
      </c>
      <c r="J156" s="181" t="s">
        <v>2975</v>
      </c>
      <c r="K156" s="176"/>
    </row>
    <row r="157" spans="1:11" ht="15.6">
      <c r="A157" s="355">
        <v>45902</v>
      </c>
      <c r="B157" s="181" t="s">
        <v>2159</v>
      </c>
      <c r="C157" s="327" t="s">
        <v>122</v>
      </c>
      <c r="D157" s="223" t="s">
        <v>116</v>
      </c>
      <c r="E157" s="312"/>
      <c r="F157" s="324">
        <v>113500</v>
      </c>
      <c r="G157" s="218"/>
      <c r="H157" s="220">
        <f t="shared" si="3"/>
        <v>8500</v>
      </c>
      <c r="I157" s="223" t="s">
        <v>583</v>
      </c>
      <c r="J157" s="181" t="s">
        <v>2975</v>
      </c>
      <c r="K157" s="176"/>
    </row>
    <row r="158" spans="1:11" ht="15.6">
      <c r="A158" s="361">
        <v>45908</v>
      </c>
      <c r="B158" s="223" t="s">
        <v>2928</v>
      </c>
      <c r="C158" s="223" t="s">
        <v>173</v>
      </c>
      <c r="D158" s="223" t="s">
        <v>117</v>
      </c>
      <c r="E158" s="312"/>
      <c r="F158" s="313">
        <v>1000</v>
      </c>
      <c r="G158" s="218"/>
      <c r="H158" s="220">
        <f t="shared" si="3"/>
        <v>7500</v>
      </c>
      <c r="I158" s="223" t="s">
        <v>583</v>
      </c>
      <c r="J158" s="223" t="s">
        <v>2970</v>
      </c>
      <c r="K158" s="176"/>
    </row>
    <row r="159" spans="1:11" ht="15.6">
      <c r="A159" s="361">
        <v>45908</v>
      </c>
      <c r="B159" s="223" t="s">
        <v>2936</v>
      </c>
      <c r="C159" s="223" t="s">
        <v>173</v>
      </c>
      <c r="D159" s="223" t="s">
        <v>117</v>
      </c>
      <c r="E159" s="312"/>
      <c r="F159" s="313">
        <v>500</v>
      </c>
      <c r="G159" s="218"/>
      <c r="H159" s="220">
        <f t="shared" si="3"/>
        <v>7000</v>
      </c>
      <c r="I159" s="223" t="s">
        <v>583</v>
      </c>
      <c r="J159" s="223" t="s">
        <v>2970</v>
      </c>
      <c r="K159" s="176"/>
    </row>
    <row r="160" spans="1:11" ht="15.6">
      <c r="A160" s="361">
        <v>45908</v>
      </c>
      <c r="B160" s="223" t="s">
        <v>2937</v>
      </c>
      <c r="C160" s="223" t="s">
        <v>173</v>
      </c>
      <c r="D160" s="223" t="s">
        <v>117</v>
      </c>
      <c r="E160" s="312"/>
      <c r="F160" s="313">
        <v>1000</v>
      </c>
      <c r="G160" s="218"/>
      <c r="H160" s="220">
        <f t="shared" si="3"/>
        <v>6000</v>
      </c>
      <c r="I160" s="223" t="s">
        <v>583</v>
      </c>
      <c r="J160" s="223" t="s">
        <v>2970</v>
      </c>
      <c r="K160" s="176"/>
    </row>
    <row r="161" spans="1:11" ht="15.6">
      <c r="A161" s="361">
        <v>45908</v>
      </c>
      <c r="B161" s="223" t="s">
        <v>2938</v>
      </c>
      <c r="C161" s="246" t="s">
        <v>151</v>
      </c>
      <c r="D161" s="223" t="s">
        <v>118</v>
      </c>
      <c r="E161" s="312">
        <v>7500</v>
      </c>
      <c r="F161" s="313"/>
      <c r="G161" s="218"/>
      <c r="H161" s="220">
        <f t="shared" si="3"/>
        <v>13500</v>
      </c>
      <c r="I161" s="223" t="s">
        <v>583</v>
      </c>
      <c r="J161" s="223" t="s">
        <v>2976</v>
      </c>
      <c r="K161" s="176"/>
    </row>
    <row r="162" spans="1:11" ht="15.6">
      <c r="A162" s="361">
        <v>45908</v>
      </c>
      <c r="B162" s="223" t="s">
        <v>2938</v>
      </c>
      <c r="C162" s="246" t="s">
        <v>151</v>
      </c>
      <c r="D162" s="223" t="s">
        <v>118</v>
      </c>
      <c r="E162" s="312"/>
      <c r="F162" s="313">
        <v>7500</v>
      </c>
      <c r="G162" s="218"/>
      <c r="H162" s="220">
        <f t="shared" si="3"/>
        <v>6000</v>
      </c>
      <c r="I162" s="223" t="s">
        <v>583</v>
      </c>
      <c r="J162" s="223" t="s">
        <v>2976</v>
      </c>
      <c r="K162" s="176"/>
    </row>
    <row r="163" spans="1:11" ht="15.6">
      <c r="A163" s="361">
        <v>45909</v>
      </c>
      <c r="B163" s="223" t="s">
        <v>2939</v>
      </c>
      <c r="C163" s="223" t="s">
        <v>173</v>
      </c>
      <c r="D163" s="223" t="s">
        <v>117</v>
      </c>
      <c r="E163" s="312"/>
      <c r="F163" s="313">
        <v>1000</v>
      </c>
      <c r="G163" s="218"/>
      <c r="H163" s="220">
        <f t="shared" si="3"/>
        <v>5000</v>
      </c>
      <c r="I163" s="223" t="s">
        <v>583</v>
      </c>
      <c r="J163" s="223" t="s">
        <v>2970</v>
      </c>
      <c r="K163" s="176"/>
    </row>
    <row r="164" spans="1:11" ht="15.6">
      <c r="A164" s="361">
        <v>45909</v>
      </c>
      <c r="B164" s="223" t="s">
        <v>2940</v>
      </c>
      <c r="C164" s="223" t="s">
        <v>173</v>
      </c>
      <c r="D164" s="223" t="s">
        <v>117</v>
      </c>
      <c r="E164" s="312"/>
      <c r="F164" s="313">
        <v>1000</v>
      </c>
      <c r="G164" s="218"/>
      <c r="H164" s="220">
        <f t="shared" si="3"/>
        <v>4000</v>
      </c>
      <c r="I164" s="223" t="s">
        <v>583</v>
      </c>
      <c r="J164" s="223" t="s">
        <v>2970</v>
      </c>
      <c r="K164" s="176"/>
    </row>
    <row r="165" spans="1:11" ht="15.6">
      <c r="A165" s="361">
        <v>45910</v>
      </c>
      <c r="B165" s="223" t="s">
        <v>2941</v>
      </c>
      <c r="C165" s="223" t="s">
        <v>173</v>
      </c>
      <c r="D165" s="223" t="s">
        <v>117</v>
      </c>
      <c r="E165" s="312"/>
      <c r="F165" s="313">
        <v>1000</v>
      </c>
      <c r="G165" s="218"/>
      <c r="H165" s="220">
        <f t="shared" si="3"/>
        <v>3000</v>
      </c>
      <c r="I165" s="223" t="s">
        <v>583</v>
      </c>
      <c r="J165" s="223" t="s">
        <v>2970</v>
      </c>
      <c r="K165" s="176"/>
    </row>
    <row r="166" spans="1:11" ht="15.6">
      <c r="A166" s="361">
        <v>45910</v>
      </c>
      <c r="B166" s="223" t="s">
        <v>2940</v>
      </c>
      <c r="C166" s="223" t="s">
        <v>173</v>
      </c>
      <c r="D166" s="223" t="s">
        <v>117</v>
      </c>
      <c r="E166" s="312"/>
      <c r="F166" s="313">
        <v>1000</v>
      </c>
      <c r="G166" s="218"/>
      <c r="H166" s="220">
        <f t="shared" si="3"/>
        <v>2000</v>
      </c>
      <c r="I166" s="223" t="s">
        <v>583</v>
      </c>
      <c r="J166" s="223" t="s">
        <v>2970</v>
      </c>
      <c r="K166" s="176"/>
    </row>
    <row r="167" spans="1:11" ht="15.6">
      <c r="A167" s="361">
        <v>45916</v>
      </c>
      <c r="B167" s="223" t="s">
        <v>2942</v>
      </c>
      <c r="C167" s="223" t="s">
        <v>173</v>
      </c>
      <c r="D167" s="223" t="s">
        <v>117</v>
      </c>
      <c r="E167" s="312"/>
      <c r="F167" s="313">
        <v>1000</v>
      </c>
      <c r="G167" s="218"/>
      <c r="H167" s="220">
        <f t="shared" si="3"/>
        <v>1000</v>
      </c>
      <c r="I167" s="223" t="s">
        <v>583</v>
      </c>
      <c r="J167" s="223" t="s">
        <v>2970</v>
      </c>
      <c r="K167" s="176"/>
    </row>
    <row r="168" spans="1:11" ht="15.6">
      <c r="A168" s="361">
        <v>45916</v>
      </c>
      <c r="B168" s="223" t="s">
        <v>2940</v>
      </c>
      <c r="C168" s="223" t="s">
        <v>173</v>
      </c>
      <c r="D168" s="223" t="s">
        <v>117</v>
      </c>
      <c r="E168" s="312"/>
      <c r="F168" s="313">
        <v>1000</v>
      </c>
      <c r="G168" s="218"/>
      <c r="H168" s="220">
        <f t="shared" si="3"/>
        <v>0</v>
      </c>
      <c r="I168" s="223" t="s">
        <v>583</v>
      </c>
      <c r="J168" s="223" t="s">
        <v>2970</v>
      </c>
      <c r="K168" s="176"/>
    </row>
    <row r="169" spans="1:11" ht="15.6">
      <c r="A169" s="361">
        <v>45917</v>
      </c>
      <c r="B169" s="223" t="s">
        <v>2943</v>
      </c>
      <c r="C169" s="223" t="s">
        <v>173</v>
      </c>
      <c r="D169" s="223" t="s">
        <v>117</v>
      </c>
      <c r="E169" s="312"/>
      <c r="F169" s="313">
        <v>1000</v>
      </c>
      <c r="G169" s="218"/>
      <c r="H169" s="220">
        <f t="shared" si="3"/>
        <v>-1000</v>
      </c>
      <c r="I169" s="223" t="s">
        <v>583</v>
      </c>
      <c r="J169" s="223" t="s">
        <v>2970</v>
      </c>
      <c r="K169" s="176"/>
    </row>
    <row r="170" spans="1:11" ht="15.6">
      <c r="A170" s="361">
        <v>45917</v>
      </c>
      <c r="B170" s="223" t="s">
        <v>2930</v>
      </c>
      <c r="C170" s="223" t="s">
        <v>173</v>
      </c>
      <c r="D170" s="223" t="s">
        <v>117</v>
      </c>
      <c r="E170" s="312"/>
      <c r="F170" s="313">
        <v>1000</v>
      </c>
      <c r="G170" s="218"/>
      <c r="H170" s="220">
        <f t="shared" si="3"/>
        <v>-2000</v>
      </c>
      <c r="I170" s="223" t="s">
        <v>583</v>
      </c>
      <c r="J170" s="223" t="s">
        <v>2970</v>
      </c>
      <c r="K170" s="176"/>
    </row>
    <row r="171" spans="1:11" ht="15.6">
      <c r="A171" s="361">
        <v>45917</v>
      </c>
      <c r="B171" s="223" t="s">
        <v>2944</v>
      </c>
      <c r="C171" s="246" t="s">
        <v>151</v>
      </c>
      <c r="D171" s="223" t="s">
        <v>118</v>
      </c>
      <c r="E171" s="312">
        <v>7500</v>
      </c>
      <c r="F171" s="313"/>
      <c r="G171" s="218"/>
      <c r="H171" s="220">
        <f t="shared" si="3"/>
        <v>5500</v>
      </c>
      <c r="I171" s="223" t="s">
        <v>583</v>
      </c>
      <c r="J171" s="223" t="s">
        <v>2977</v>
      </c>
      <c r="K171" s="176"/>
    </row>
    <row r="172" spans="1:11" ht="15.6">
      <c r="A172" s="361">
        <v>45917</v>
      </c>
      <c r="B172" s="223" t="s">
        <v>2944</v>
      </c>
      <c r="C172" s="246" t="s">
        <v>151</v>
      </c>
      <c r="D172" s="223" t="s">
        <v>118</v>
      </c>
      <c r="E172" s="312"/>
      <c r="F172" s="313">
        <v>7500</v>
      </c>
      <c r="G172" s="218"/>
      <c r="H172" s="220">
        <f t="shared" si="3"/>
        <v>-2000</v>
      </c>
      <c r="I172" s="223" t="s">
        <v>583</v>
      </c>
      <c r="J172" s="223" t="s">
        <v>2977</v>
      </c>
      <c r="K172" s="176"/>
    </row>
    <row r="173" spans="1:11" ht="15.6">
      <c r="A173" s="361">
        <v>45918</v>
      </c>
      <c r="B173" s="223" t="s">
        <v>2945</v>
      </c>
      <c r="C173" s="223" t="s">
        <v>173</v>
      </c>
      <c r="D173" s="223" t="s">
        <v>117</v>
      </c>
      <c r="E173" s="312"/>
      <c r="F173" s="313">
        <v>500</v>
      </c>
      <c r="G173" s="218"/>
      <c r="H173" s="220">
        <f t="shared" si="3"/>
        <v>-2500</v>
      </c>
      <c r="I173" s="223" t="s">
        <v>583</v>
      </c>
      <c r="J173" s="223" t="s">
        <v>2970</v>
      </c>
      <c r="K173" s="176"/>
    </row>
    <row r="174" spans="1:11" ht="15.6">
      <c r="A174" s="361">
        <v>45918</v>
      </c>
      <c r="B174" s="223" t="s">
        <v>2946</v>
      </c>
      <c r="C174" s="223" t="s">
        <v>173</v>
      </c>
      <c r="D174" s="223" t="s">
        <v>117</v>
      </c>
      <c r="E174" s="312"/>
      <c r="F174" s="313">
        <v>500</v>
      </c>
      <c r="G174" s="218"/>
      <c r="H174" s="220">
        <f t="shared" si="3"/>
        <v>-3000</v>
      </c>
      <c r="I174" s="223" t="s">
        <v>583</v>
      </c>
      <c r="J174" s="223" t="s">
        <v>2970</v>
      </c>
      <c r="K174" s="176"/>
    </row>
    <row r="175" spans="1:11" ht="15.6">
      <c r="A175" s="361">
        <v>45919</v>
      </c>
      <c r="B175" s="223" t="s">
        <v>649</v>
      </c>
      <c r="C175" s="246" t="s">
        <v>123</v>
      </c>
      <c r="D175" s="223" t="s">
        <v>117</v>
      </c>
      <c r="E175" s="312">
        <v>20000</v>
      </c>
      <c r="F175" s="313"/>
      <c r="G175" s="218"/>
      <c r="H175" s="220">
        <f t="shared" si="3"/>
        <v>17000</v>
      </c>
      <c r="I175" s="223" t="s">
        <v>583</v>
      </c>
      <c r="J175" s="223" t="s">
        <v>2978</v>
      </c>
      <c r="K175" s="176"/>
    </row>
    <row r="176" spans="1:11" ht="15.6">
      <c r="A176" s="355">
        <v>45918</v>
      </c>
      <c r="B176" s="181" t="s">
        <v>2358</v>
      </c>
      <c r="C176" s="223" t="s">
        <v>181</v>
      </c>
      <c r="D176" s="223" t="s">
        <v>117</v>
      </c>
      <c r="E176" s="324">
        <v>7200</v>
      </c>
      <c r="F176" s="313"/>
      <c r="G176" s="218"/>
      <c r="H176" s="220">
        <f t="shared" si="3"/>
        <v>24200</v>
      </c>
      <c r="I176" s="223" t="s">
        <v>583</v>
      </c>
      <c r="J176" s="181" t="s">
        <v>2979</v>
      </c>
      <c r="K176" s="176"/>
    </row>
    <row r="177" spans="1:11" ht="15.6">
      <c r="A177" s="355">
        <v>45918</v>
      </c>
      <c r="B177" s="181" t="s">
        <v>2358</v>
      </c>
      <c r="C177" s="223" t="s">
        <v>181</v>
      </c>
      <c r="D177" s="223" t="s">
        <v>117</v>
      </c>
      <c r="E177" s="312"/>
      <c r="F177" s="324">
        <v>7200</v>
      </c>
      <c r="G177" s="218"/>
      <c r="H177" s="220">
        <f t="shared" si="3"/>
        <v>17000</v>
      </c>
      <c r="I177" s="223" t="s">
        <v>583</v>
      </c>
      <c r="J177" s="181" t="s">
        <v>2979</v>
      </c>
      <c r="K177" s="176"/>
    </row>
    <row r="178" spans="1:11" ht="15.6">
      <c r="A178" s="361">
        <v>45919</v>
      </c>
      <c r="B178" s="223" t="s">
        <v>2947</v>
      </c>
      <c r="C178" s="223" t="s">
        <v>173</v>
      </c>
      <c r="D178" s="223" t="s">
        <v>117</v>
      </c>
      <c r="E178" s="312"/>
      <c r="F178" s="313">
        <v>1000</v>
      </c>
      <c r="G178" s="218"/>
      <c r="H178" s="220">
        <f t="shared" si="3"/>
        <v>16000</v>
      </c>
      <c r="I178" s="223" t="s">
        <v>583</v>
      </c>
      <c r="J178" s="223" t="s">
        <v>2970</v>
      </c>
      <c r="K178" s="176"/>
    </row>
    <row r="179" spans="1:11" ht="15.6">
      <c r="A179" s="361">
        <v>45919</v>
      </c>
      <c r="B179" s="223" t="s">
        <v>2948</v>
      </c>
      <c r="C179" s="223" t="s">
        <v>173</v>
      </c>
      <c r="D179" s="223" t="s">
        <v>117</v>
      </c>
      <c r="E179" s="312"/>
      <c r="F179" s="313">
        <v>1000</v>
      </c>
      <c r="G179" s="218"/>
      <c r="H179" s="220">
        <f t="shared" si="3"/>
        <v>15000</v>
      </c>
      <c r="I179" s="223" t="s">
        <v>583</v>
      </c>
      <c r="J179" s="223" t="s">
        <v>2970</v>
      </c>
      <c r="K179" s="176"/>
    </row>
    <row r="180" spans="1:11" ht="15.6">
      <c r="A180" s="361">
        <v>45922</v>
      </c>
      <c r="B180" s="223" t="s">
        <v>2942</v>
      </c>
      <c r="C180" s="223" t="s">
        <v>173</v>
      </c>
      <c r="D180" s="223" t="s">
        <v>117</v>
      </c>
      <c r="E180" s="312"/>
      <c r="F180" s="313">
        <v>1000</v>
      </c>
      <c r="G180" s="218"/>
      <c r="H180" s="220">
        <f t="shared" si="3"/>
        <v>14000</v>
      </c>
      <c r="I180" s="223" t="s">
        <v>583</v>
      </c>
      <c r="J180" s="223" t="s">
        <v>2970</v>
      </c>
      <c r="K180" s="176"/>
    </row>
    <row r="181" spans="1:11" ht="15.6">
      <c r="A181" s="361">
        <v>45922</v>
      </c>
      <c r="B181" s="223" t="s">
        <v>2940</v>
      </c>
      <c r="C181" s="223" t="s">
        <v>173</v>
      </c>
      <c r="D181" s="223" t="s">
        <v>117</v>
      </c>
      <c r="E181" s="312"/>
      <c r="F181" s="313">
        <v>1000</v>
      </c>
      <c r="G181" s="218"/>
      <c r="H181" s="220">
        <f t="shared" si="3"/>
        <v>13000</v>
      </c>
      <c r="I181" s="223" t="s">
        <v>583</v>
      </c>
      <c r="J181" s="223" t="s">
        <v>2970</v>
      </c>
      <c r="K181" s="176"/>
    </row>
    <row r="182" spans="1:11" ht="15.6">
      <c r="A182" s="361">
        <v>45923</v>
      </c>
      <c r="B182" s="223" t="s">
        <v>2945</v>
      </c>
      <c r="C182" s="223" t="s">
        <v>173</v>
      </c>
      <c r="D182" s="223" t="s">
        <v>117</v>
      </c>
      <c r="E182" s="312"/>
      <c r="F182" s="313">
        <v>500</v>
      </c>
      <c r="G182" s="218"/>
      <c r="H182" s="220">
        <f t="shared" si="3"/>
        <v>12500</v>
      </c>
      <c r="I182" s="223" t="s">
        <v>583</v>
      </c>
      <c r="J182" s="223" t="s">
        <v>2970</v>
      </c>
      <c r="K182" s="176"/>
    </row>
    <row r="183" spans="1:11" ht="15.6">
      <c r="A183" s="361">
        <v>45923</v>
      </c>
      <c r="B183" s="223" t="s">
        <v>2946</v>
      </c>
      <c r="C183" s="223" t="s">
        <v>173</v>
      </c>
      <c r="D183" s="223" t="s">
        <v>117</v>
      </c>
      <c r="E183" s="312"/>
      <c r="F183" s="313">
        <v>500</v>
      </c>
      <c r="G183" s="218"/>
      <c r="H183" s="220">
        <f t="shared" si="3"/>
        <v>12000</v>
      </c>
      <c r="I183" s="223" t="s">
        <v>583</v>
      </c>
      <c r="J183" s="223" t="s">
        <v>2970</v>
      </c>
      <c r="K183" s="176"/>
    </row>
    <row r="184" spans="1:11" ht="15.6">
      <c r="A184" s="355">
        <v>45923</v>
      </c>
      <c r="B184" s="181" t="s">
        <v>2949</v>
      </c>
      <c r="C184" s="223" t="s">
        <v>181</v>
      </c>
      <c r="D184" s="223" t="s">
        <v>117</v>
      </c>
      <c r="E184" s="324">
        <v>2000</v>
      </c>
      <c r="F184" s="313"/>
      <c r="G184" s="218"/>
      <c r="H184" s="220">
        <f t="shared" si="3"/>
        <v>14000</v>
      </c>
      <c r="I184" s="223" t="s">
        <v>583</v>
      </c>
      <c r="J184" s="181" t="s">
        <v>2980</v>
      </c>
      <c r="K184" s="176"/>
    </row>
    <row r="185" spans="1:11" ht="15.6">
      <c r="A185" s="355">
        <v>45923</v>
      </c>
      <c r="B185" s="181" t="s">
        <v>2949</v>
      </c>
      <c r="C185" s="223" t="s">
        <v>181</v>
      </c>
      <c r="D185" s="223" t="s">
        <v>117</v>
      </c>
      <c r="E185" s="312"/>
      <c r="F185" s="324">
        <v>2000</v>
      </c>
      <c r="G185" s="218"/>
      <c r="H185" s="220">
        <f t="shared" si="3"/>
        <v>12000</v>
      </c>
      <c r="I185" s="223" t="s">
        <v>583</v>
      </c>
      <c r="J185" s="181" t="s">
        <v>2980</v>
      </c>
      <c r="K185" s="176"/>
    </row>
    <row r="186" spans="1:11" ht="15.6">
      <c r="A186" s="361">
        <v>45926</v>
      </c>
      <c r="B186" s="223" t="s">
        <v>2950</v>
      </c>
      <c r="C186" s="223" t="s">
        <v>173</v>
      </c>
      <c r="D186" s="223" t="s">
        <v>117</v>
      </c>
      <c r="E186" s="312"/>
      <c r="F186" s="313">
        <v>1000</v>
      </c>
      <c r="G186" s="218"/>
      <c r="H186" s="220">
        <f t="shared" si="3"/>
        <v>11000</v>
      </c>
      <c r="I186" s="223" t="s">
        <v>583</v>
      </c>
      <c r="J186" s="223" t="s">
        <v>2970</v>
      </c>
      <c r="K186" s="176"/>
    </row>
    <row r="187" spans="1:11" ht="15.6">
      <c r="A187" s="361">
        <v>45926</v>
      </c>
      <c r="B187" s="223" t="s">
        <v>2951</v>
      </c>
      <c r="C187" s="223" t="s">
        <v>173</v>
      </c>
      <c r="D187" s="223" t="s">
        <v>117</v>
      </c>
      <c r="E187" s="312"/>
      <c r="F187" s="313">
        <v>1000</v>
      </c>
      <c r="G187" s="218"/>
      <c r="H187" s="220">
        <f t="shared" si="3"/>
        <v>10000</v>
      </c>
      <c r="I187" s="223" t="s">
        <v>583</v>
      </c>
      <c r="J187" s="223" t="s">
        <v>2970</v>
      </c>
      <c r="K187" s="176"/>
    </row>
    <row r="188" spans="1:11" ht="15.6">
      <c r="A188" s="355">
        <v>45924</v>
      </c>
      <c r="B188" s="223" t="s">
        <v>2952</v>
      </c>
      <c r="C188" s="181" t="s">
        <v>171</v>
      </c>
      <c r="D188" s="223" t="s">
        <v>117</v>
      </c>
      <c r="E188" s="324">
        <v>19000</v>
      </c>
      <c r="F188" s="313"/>
      <c r="G188" s="221"/>
      <c r="H188" s="220">
        <f t="shared" si="3"/>
        <v>29000</v>
      </c>
      <c r="I188" s="223" t="s">
        <v>583</v>
      </c>
      <c r="J188" s="181" t="s">
        <v>2981</v>
      </c>
      <c r="K188" s="176"/>
    </row>
    <row r="189" spans="1:11" ht="15.6">
      <c r="A189" s="355">
        <v>45924</v>
      </c>
      <c r="B189" s="223" t="s">
        <v>2952</v>
      </c>
      <c r="C189" s="181" t="s">
        <v>171</v>
      </c>
      <c r="D189" s="223" t="s">
        <v>117</v>
      </c>
      <c r="E189" s="312"/>
      <c r="F189" s="324">
        <v>19000</v>
      </c>
      <c r="G189" s="221"/>
      <c r="H189" s="220">
        <f t="shared" si="3"/>
        <v>10000</v>
      </c>
      <c r="I189" s="223" t="s">
        <v>583</v>
      </c>
      <c r="J189" s="181" t="s">
        <v>2981</v>
      </c>
      <c r="K189" s="176"/>
    </row>
    <row r="190" spans="1:11" ht="15.6">
      <c r="A190" s="355">
        <v>45926</v>
      </c>
      <c r="B190" s="223" t="s">
        <v>2953</v>
      </c>
      <c r="C190" s="223" t="s">
        <v>125</v>
      </c>
      <c r="D190" s="223" t="s">
        <v>117</v>
      </c>
      <c r="E190" s="324">
        <v>6000</v>
      </c>
      <c r="F190" s="324"/>
      <c r="G190" s="221"/>
      <c r="H190" s="220">
        <f t="shared" si="3"/>
        <v>16000</v>
      </c>
      <c r="I190" s="223" t="s">
        <v>583</v>
      </c>
      <c r="J190" s="181" t="s">
        <v>2982</v>
      </c>
      <c r="K190" s="176"/>
    </row>
    <row r="191" spans="1:11" ht="15.6">
      <c r="A191" s="355">
        <v>45926</v>
      </c>
      <c r="B191" s="181" t="s">
        <v>2949</v>
      </c>
      <c r="C191" s="223" t="s">
        <v>181</v>
      </c>
      <c r="D191" s="223" t="s">
        <v>117</v>
      </c>
      <c r="E191" s="324">
        <v>2800</v>
      </c>
      <c r="F191" s="324"/>
      <c r="G191" s="221"/>
      <c r="H191" s="220">
        <f t="shared" si="3"/>
        <v>18800</v>
      </c>
      <c r="I191" s="223" t="s">
        <v>583</v>
      </c>
      <c r="J191" s="181" t="s">
        <v>2983</v>
      </c>
      <c r="K191" s="176"/>
    </row>
    <row r="192" spans="1:11" ht="15.6">
      <c r="A192" s="355">
        <v>45926</v>
      </c>
      <c r="B192" s="223" t="s">
        <v>2953</v>
      </c>
      <c r="C192" s="223" t="s">
        <v>125</v>
      </c>
      <c r="D192" s="223" t="s">
        <v>117</v>
      </c>
      <c r="E192" s="312"/>
      <c r="F192" s="324">
        <v>6000</v>
      </c>
      <c r="G192" s="218"/>
      <c r="H192" s="220">
        <f t="shared" si="3"/>
        <v>12800</v>
      </c>
      <c r="I192" s="223" t="s">
        <v>583</v>
      </c>
      <c r="J192" s="181" t="s">
        <v>2982</v>
      </c>
      <c r="K192" s="176"/>
    </row>
    <row r="193" spans="1:11" ht="15.6">
      <c r="A193" s="355">
        <v>45926</v>
      </c>
      <c r="B193" s="181" t="s">
        <v>2949</v>
      </c>
      <c r="C193" s="223" t="s">
        <v>181</v>
      </c>
      <c r="D193" s="223" t="s">
        <v>117</v>
      </c>
      <c r="E193" s="312"/>
      <c r="F193" s="324">
        <v>2800</v>
      </c>
      <c r="G193" s="221"/>
      <c r="H193" s="220">
        <f t="shared" si="3"/>
        <v>10000</v>
      </c>
      <c r="I193" s="223" t="s">
        <v>583</v>
      </c>
      <c r="J193" s="181" t="s">
        <v>2983</v>
      </c>
      <c r="K193" s="176"/>
    </row>
    <row r="194" spans="1:11" ht="15.6">
      <c r="A194" s="361">
        <v>45927</v>
      </c>
      <c r="B194" s="223" t="s">
        <v>2954</v>
      </c>
      <c r="C194" s="223" t="s">
        <v>173</v>
      </c>
      <c r="D194" s="223" t="s">
        <v>117</v>
      </c>
      <c r="E194" s="312"/>
      <c r="F194" s="313">
        <v>1000</v>
      </c>
      <c r="G194" s="218"/>
      <c r="H194" s="220">
        <f t="shared" si="3"/>
        <v>9000</v>
      </c>
      <c r="I194" s="223" t="s">
        <v>583</v>
      </c>
      <c r="J194" s="223" t="s">
        <v>2970</v>
      </c>
      <c r="K194" s="176"/>
    </row>
    <row r="195" spans="1:11" s="333" customFormat="1" ht="15.6">
      <c r="A195" s="361">
        <v>45927</v>
      </c>
      <c r="B195" s="223" t="s">
        <v>2955</v>
      </c>
      <c r="C195" s="223" t="s">
        <v>173</v>
      </c>
      <c r="D195" s="223" t="s">
        <v>117</v>
      </c>
      <c r="E195" s="312"/>
      <c r="F195" s="313">
        <v>1000</v>
      </c>
      <c r="G195" s="218"/>
      <c r="H195" s="220">
        <f t="shared" si="3"/>
        <v>8000</v>
      </c>
      <c r="I195" s="223" t="s">
        <v>583</v>
      </c>
      <c r="J195" s="223" t="s">
        <v>2970</v>
      </c>
      <c r="K195" s="176"/>
    </row>
    <row r="196" spans="1:11" s="333" customFormat="1" ht="15.6">
      <c r="A196" s="361">
        <v>45927</v>
      </c>
      <c r="B196" s="223" t="s">
        <v>2956</v>
      </c>
      <c r="C196" s="223" t="s">
        <v>173</v>
      </c>
      <c r="D196" s="223" t="s">
        <v>117</v>
      </c>
      <c r="E196" s="312"/>
      <c r="F196" s="313">
        <v>500</v>
      </c>
      <c r="G196" s="218"/>
      <c r="H196" s="220">
        <f t="shared" si="3"/>
        <v>7500</v>
      </c>
      <c r="I196" s="223" t="s">
        <v>583</v>
      </c>
      <c r="J196" s="223" t="s">
        <v>2970</v>
      </c>
      <c r="K196" s="176"/>
    </row>
    <row r="197" spans="1:11" s="333" customFormat="1" ht="15.6">
      <c r="A197" s="361">
        <v>45927</v>
      </c>
      <c r="B197" s="223" t="s">
        <v>2957</v>
      </c>
      <c r="C197" s="223" t="s">
        <v>173</v>
      </c>
      <c r="D197" s="223" t="s">
        <v>117</v>
      </c>
      <c r="E197" s="312"/>
      <c r="F197" s="313">
        <v>1000</v>
      </c>
      <c r="G197" s="218"/>
      <c r="H197" s="220">
        <f t="shared" si="3"/>
        <v>6500</v>
      </c>
      <c r="I197" s="223" t="s">
        <v>583</v>
      </c>
      <c r="J197" s="223" t="s">
        <v>2970</v>
      </c>
      <c r="K197" s="176"/>
    </row>
    <row r="198" spans="1:11" s="333" customFormat="1" ht="15.6">
      <c r="A198" s="361">
        <v>45927</v>
      </c>
      <c r="B198" s="223" t="s">
        <v>2958</v>
      </c>
      <c r="C198" s="223" t="s">
        <v>173</v>
      </c>
      <c r="D198" s="223" t="s">
        <v>117</v>
      </c>
      <c r="E198" s="312"/>
      <c r="F198" s="313">
        <v>1000</v>
      </c>
      <c r="G198" s="218"/>
      <c r="H198" s="220">
        <f t="shared" si="3"/>
        <v>5500</v>
      </c>
      <c r="I198" s="223" t="s">
        <v>583</v>
      </c>
      <c r="J198" s="223" t="s">
        <v>2970</v>
      </c>
      <c r="K198" s="176"/>
    </row>
    <row r="199" spans="1:11" s="333" customFormat="1" ht="15.6">
      <c r="A199" s="361">
        <v>45927</v>
      </c>
      <c r="B199" s="223" t="s">
        <v>2959</v>
      </c>
      <c r="C199" s="223" t="s">
        <v>173</v>
      </c>
      <c r="D199" s="223" t="s">
        <v>117</v>
      </c>
      <c r="E199" s="312"/>
      <c r="F199" s="313">
        <v>1000</v>
      </c>
      <c r="G199" s="218"/>
      <c r="H199" s="220">
        <f t="shared" si="3"/>
        <v>4500</v>
      </c>
      <c r="I199" s="223" t="s">
        <v>583</v>
      </c>
      <c r="J199" s="223" t="s">
        <v>2970</v>
      </c>
      <c r="K199" s="176"/>
    </row>
    <row r="200" spans="1:11" s="333" customFormat="1" ht="15.6">
      <c r="A200" s="361">
        <v>45928</v>
      </c>
      <c r="B200" s="223" t="s">
        <v>2960</v>
      </c>
      <c r="C200" s="223" t="s">
        <v>173</v>
      </c>
      <c r="D200" s="223" t="s">
        <v>117</v>
      </c>
      <c r="E200" s="312"/>
      <c r="F200" s="313">
        <v>1000</v>
      </c>
      <c r="G200" s="218"/>
      <c r="H200" s="220">
        <f t="shared" si="3"/>
        <v>3500</v>
      </c>
      <c r="I200" s="223" t="s">
        <v>583</v>
      </c>
      <c r="J200" s="223" t="s">
        <v>2970</v>
      </c>
      <c r="K200" s="176"/>
    </row>
    <row r="201" spans="1:11" s="333" customFormat="1" ht="15.6">
      <c r="A201" s="361">
        <v>45928</v>
      </c>
      <c r="B201" s="223" t="s">
        <v>2959</v>
      </c>
      <c r="C201" s="223" t="s">
        <v>173</v>
      </c>
      <c r="D201" s="223" t="s">
        <v>117</v>
      </c>
      <c r="E201" s="312"/>
      <c r="F201" s="313">
        <v>1000</v>
      </c>
      <c r="G201" s="218"/>
      <c r="H201" s="220">
        <f t="shared" si="3"/>
        <v>2500</v>
      </c>
      <c r="I201" s="223" t="s">
        <v>583</v>
      </c>
      <c r="J201" s="223" t="s">
        <v>2970</v>
      </c>
      <c r="K201" s="176"/>
    </row>
    <row r="202" spans="1:11" s="333" customFormat="1" ht="15.6">
      <c r="A202" s="361">
        <v>45929</v>
      </c>
      <c r="B202" s="223" t="s">
        <v>2961</v>
      </c>
      <c r="C202" s="223" t="s">
        <v>173</v>
      </c>
      <c r="D202" s="223" t="s">
        <v>117</v>
      </c>
      <c r="E202" s="312"/>
      <c r="F202" s="313">
        <v>1500</v>
      </c>
      <c r="G202" s="218"/>
      <c r="H202" s="220">
        <f t="shared" si="3"/>
        <v>1000</v>
      </c>
      <c r="I202" s="223" t="s">
        <v>583</v>
      </c>
      <c r="J202" s="223" t="s">
        <v>2970</v>
      </c>
      <c r="K202" s="176"/>
    </row>
    <row r="203" spans="1:11" s="333" customFormat="1" ht="15.6">
      <c r="A203" s="361">
        <v>45929</v>
      </c>
      <c r="B203" s="223" t="s">
        <v>2962</v>
      </c>
      <c r="C203" s="223" t="s">
        <v>173</v>
      </c>
      <c r="D203" s="223" t="s">
        <v>117</v>
      </c>
      <c r="E203" s="312"/>
      <c r="F203" s="313">
        <v>500</v>
      </c>
      <c r="G203" s="218"/>
      <c r="H203" s="220">
        <f t="shared" si="3"/>
        <v>500</v>
      </c>
      <c r="I203" s="223" t="s">
        <v>583</v>
      </c>
      <c r="J203" s="223" t="s">
        <v>2970</v>
      </c>
      <c r="K203" s="176"/>
    </row>
    <row r="204" spans="1:11" s="333" customFormat="1" ht="15.6">
      <c r="A204" s="361">
        <v>45929</v>
      </c>
      <c r="B204" s="223" t="s">
        <v>2940</v>
      </c>
      <c r="C204" s="223" t="s">
        <v>173</v>
      </c>
      <c r="D204" s="223" t="s">
        <v>117</v>
      </c>
      <c r="E204" s="312"/>
      <c r="F204" s="313">
        <v>1500</v>
      </c>
      <c r="G204" s="218"/>
      <c r="H204" s="220">
        <f t="shared" si="3"/>
        <v>-1000</v>
      </c>
      <c r="I204" s="223" t="s">
        <v>583</v>
      </c>
      <c r="J204" s="223" t="s">
        <v>2970</v>
      </c>
      <c r="K204" s="176"/>
    </row>
    <row r="205" spans="1:11" s="333" customFormat="1" ht="15.6">
      <c r="A205" s="361">
        <v>45929</v>
      </c>
      <c r="B205" s="223" t="s">
        <v>2963</v>
      </c>
      <c r="C205" s="246" t="s">
        <v>151</v>
      </c>
      <c r="D205" s="223" t="s">
        <v>118</v>
      </c>
      <c r="E205" s="312">
        <v>7500</v>
      </c>
      <c r="F205" s="313"/>
      <c r="G205" s="218"/>
      <c r="H205" s="220">
        <f t="shared" si="3"/>
        <v>6500</v>
      </c>
      <c r="I205" s="223" t="s">
        <v>583</v>
      </c>
      <c r="J205" s="223" t="s">
        <v>2984</v>
      </c>
      <c r="K205" s="176"/>
    </row>
    <row r="206" spans="1:11" s="333" customFormat="1" ht="15.6">
      <c r="A206" s="361">
        <v>45929</v>
      </c>
      <c r="B206" s="223" t="s">
        <v>2963</v>
      </c>
      <c r="C206" s="246" t="s">
        <v>151</v>
      </c>
      <c r="D206" s="223" t="s">
        <v>118</v>
      </c>
      <c r="E206" s="312"/>
      <c r="F206" s="313">
        <v>7500</v>
      </c>
      <c r="G206" s="218"/>
      <c r="H206" s="220">
        <f t="shared" si="3"/>
        <v>-1000</v>
      </c>
      <c r="I206" s="223" t="s">
        <v>583</v>
      </c>
      <c r="J206" s="223" t="s">
        <v>2984</v>
      </c>
      <c r="K206" s="176"/>
    </row>
    <row r="207" spans="1:11" s="333" customFormat="1" ht="15.6">
      <c r="A207" s="361">
        <v>45930</v>
      </c>
      <c r="B207" s="223" t="s">
        <v>2942</v>
      </c>
      <c r="C207" s="223" t="s">
        <v>173</v>
      </c>
      <c r="D207" s="223" t="s">
        <v>117</v>
      </c>
      <c r="E207" s="312"/>
      <c r="F207" s="313">
        <v>1000</v>
      </c>
      <c r="G207" s="218"/>
      <c r="H207" s="220">
        <f t="shared" si="3"/>
        <v>-2000</v>
      </c>
      <c r="I207" s="223" t="s">
        <v>583</v>
      </c>
      <c r="J207" s="223" t="s">
        <v>2970</v>
      </c>
      <c r="K207" s="176"/>
    </row>
    <row r="208" spans="1:11" s="333" customFormat="1" ht="15.6">
      <c r="A208" s="361">
        <v>45930</v>
      </c>
      <c r="B208" s="223" t="s">
        <v>2964</v>
      </c>
      <c r="C208" s="223" t="s">
        <v>173</v>
      </c>
      <c r="D208" s="223" t="s">
        <v>117</v>
      </c>
      <c r="E208" s="312"/>
      <c r="F208" s="313">
        <v>500</v>
      </c>
      <c r="G208" s="218"/>
      <c r="H208" s="220">
        <f t="shared" si="3"/>
        <v>-2500</v>
      </c>
      <c r="I208" s="223" t="s">
        <v>583</v>
      </c>
      <c r="J208" s="223" t="s">
        <v>2970</v>
      </c>
      <c r="K208" s="176"/>
    </row>
    <row r="209" spans="1:11" s="333" customFormat="1" ht="15.6">
      <c r="A209" s="361">
        <v>45930</v>
      </c>
      <c r="B209" s="223" t="s">
        <v>2965</v>
      </c>
      <c r="C209" s="223" t="s">
        <v>173</v>
      </c>
      <c r="D209" s="223" t="s">
        <v>117</v>
      </c>
      <c r="E209" s="312"/>
      <c r="F209" s="313">
        <v>1000</v>
      </c>
      <c r="G209" s="218"/>
      <c r="H209" s="220">
        <f t="shared" si="3"/>
        <v>-3500</v>
      </c>
      <c r="I209" s="223" t="s">
        <v>583</v>
      </c>
      <c r="J209" s="223" t="s">
        <v>2970</v>
      </c>
      <c r="K209" s="176"/>
    </row>
    <row r="210" spans="1:11" s="333" customFormat="1" ht="15.6">
      <c r="A210" s="361">
        <v>45930</v>
      </c>
      <c r="B210" s="223" t="s">
        <v>2966</v>
      </c>
      <c r="C210" s="223" t="s">
        <v>173</v>
      </c>
      <c r="D210" s="223" t="s">
        <v>117</v>
      </c>
      <c r="E210" s="312"/>
      <c r="F210" s="313">
        <v>1000</v>
      </c>
      <c r="G210" s="218"/>
      <c r="H210" s="220">
        <f t="shared" si="3"/>
        <v>-4500</v>
      </c>
      <c r="I210" s="223" t="s">
        <v>583</v>
      </c>
      <c r="J210" s="223" t="s">
        <v>2970</v>
      </c>
      <c r="K210" s="176"/>
    </row>
    <row r="211" spans="1:11" s="333" customFormat="1" ht="15.6">
      <c r="A211" s="355">
        <v>45930</v>
      </c>
      <c r="B211" s="181" t="s">
        <v>2967</v>
      </c>
      <c r="C211" s="223" t="s">
        <v>117</v>
      </c>
      <c r="D211" s="223" t="s">
        <v>117</v>
      </c>
      <c r="E211" s="324">
        <v>122074</v>
      </c>
      <c r="F211" s="313"/>
      <c r="G211" s="218"/>
      <c r="H211" s="220">
        <f t="shared" si="3"/>
        <v>117574</v>
      </c>
      <c r="I211" s="181" t="s">
        <v>583</v>
      </c>
      <c r="J211" s="181" t="s">
        <v>2985</v>
      </c>
      <c r="K211" s="176"/>
    </row>
    <row r="212" spans="1:11" s="333" customFormat="1" ht="15.6">
      <c r="A212" s="355">
        <v>45930</v>
      </c>
      <c r="B212" s="181" t="s">
        <v>2968</v>
      </c>
      <c r="C212" s="181" t="s">
        <v>117</v>
      </c>
      <c r="D212" s="223" t="s">
        <v>117</v>
      </c>
      <c r="E212" s="324">
        <v>45050</v>
      </c>
      <c r="F212" s="313"/>
      <c r="G212" s="218"/>
      <c r="H212" s="220">
        <f t="shared" si="3"/>
        <v>162624</v>
      </c>
      <c r="I212" s="181" t="s">
        <v>583</v>
      </c>
      <c r="J212" s="181" t="s">
        <v>2986</v>
      </c>
      <c r="K212" s="176"/>
    </row>
    <row r="213" spans="1:11" s="333" customFormat="1" ht="15.6">
      <c r="A213" s="355">
        <v>45930</v>
      </c>
      <c r="B213" s="181" t="s">
        <v>2967</v>
      </c>
      <c r="C213" s="223" t="s">
        <v>181</v>
      </c>
      <c r="D213" s="223" t="s">
        <v>117</v>
      </c>
      <c r="E213" s="312"/>
      <c r="F213" s="324">
        <v>122074</v>
      </c>
      <c r="G213" s="218"/>
      <c r="H213" s="220">
        <f t="shared" si="3"/>
        <v>40550</v>
      </c>
      <c r="I213" s="181" t="s">
        <v>583</v>
      </c>
      <c r="J213" s="181" t="s">
        <v>2985</v>
      </c>
      <c r="K213" s="176"/>
    </row>
    <row r="214" spans="1:11" s="333" customFormat="1" ht="15.6">
      <c r="A214" s="355">
        <v>45930</v>
      </c>
      <c r="B214" s="181" t="s">
        <v>2968</v>
      </c>
      <c r="C214" s="181" t="s">
        <v>626</v>
      </c>
      <c r="D214" s="223" t="s">
        <v>117</v>
      </c>
      <c r="E214" s="312"/>
      <c r="F214" s="324">
        <v>45050</v>
      </c>
      <c r="G214" s="218"/>
      <c r="H214" s="220">
        <f t="shared" si="3"/>
        <v>-4500</v>
      </c>
      <c r="I214" s="181" t="s">
        <v>583</v>
      </c>
      <c r="J214" s="181" t="s">
        <v>2986</v>
      </c>
      <c r="K214" s="176"/>
    </row>
    <row r="215" spans="1:11" s="333" customFormat="1" ht="15.6">
      <c r="A215" s="361">
        <v>45930</v>
      </c>
      <c r="B215" s="223" t="s">
        <v>2969</v>
      </c>
      <c r="C215" s="223" t="s">
        <v>173</v>
      </c>
      <c r="D215" s="223" t="s">
        <v>117</v>
      </c>
      <c r="E215" s="312"/>
      <c r="F215" s="313">
        <v>1000</v>
      </c>
      <c r="G215" s="218"/>
      <c r="H215" s="220">
        <f t="shared" si="3"/>
        <v>-5500</v>
      </c>
      <c r="I215" s="223" t="s">
        <v>583</v>
      </c>
      <c r="J215" s="223" t="s">
        <v>2970</v>
      </c>
      <c r="K215" s="176"/>
    </row>
    <row r="216" spans="1:11" s="333" customFormat="1" ht="15.6">
      <c r="A216" s="361">
        <v>45930</v>
      </c>
      <c r="B216" s="223" t="s">
        <v>649</v>
      </c>
      <c r="C216" s="246" t="s">
        <v>123</v>
      </c>
      <c r="D216" s="223" t="s">
        <v>117</v>
      </c>
      <c r="E216" s="312">
        <v>20000</v>
      </c>
      <c r="F216" s="313"/>
      <c r="G216" s="218"/>
      <c r="H216" s="220">
        <f t="shared" si="3"/>
        <v>14500</v>
      </c>
      <c r="I216" s="223" t="s">
        <v>583</v>
      </c>
      <c r="J216" s="223" t="s">
        <v>2987</v>
      </c>
      <c r="K216" s="176"/>
    </row>
    <row r="217" spans="1:11" ht="15.6">
      <c r="A217" s="187"/>
      <c r="B217" s="185"/>
      <c r="C217" s="185"/>
      <c r="D217" s="185"/>
      <c r="E217" s="189">
        <f>SUM(E143:E216)</f>
        <v>558984</v>
      </c>
      <c r="F217" s="189">
        <f>SUM(F142:F216)</f>
        <v>556484</v>
      </c>
      <c r="G217" s="189"/>
      <c r="H217" s="190">
        <f>+H142+E217-F217</f>
        <v>14500</v>
      </c>
      <c r="I217" s="185"/>
      <c r="J217" s="185"/>
      <c r="K217" s="185"/>
    </row>
    <row r="218" spans="1:11" ht="15.6">
      <c r="A218" s="187"/>
      <c r="B218" s="185"/>
      <c r="C218" s="185"/>
      <c r="D218" s="185"/>
      <c r="E218" s="189"/>
      <c r="F218" s="189"/>
      <c r="G218" s="189"/>
      <c r="H218" s="190"/>
      <c r="I218" s="185"/>
      <c r="J218" s="185"/>
      <c r="K218" s="185"/>
    </row>
    <row r="219" spans="1:11" ht="15.6">
      <c r="A219" s="187"/>
      <c r="B219" s="185"/>
      <c r="C219" s="188" t="s">
        <v>455</v>
      </c>
      <c r="D219" s="185"/>
      <c r="E219" s="189"/>
      <c r="F219" s="189"/>
      <c r="G219" s="189"/>
      <c r="H219" s="190"/>
      <c r="I219" s="185"/>
      <c r="J219" s="185"/>
      <c r="K219" s="185"/>
    </row>
    <row r="220" spans="1:11" ht="15.6">
      <c r="A220" s="187"/>
      <c r="B220" s="185"/>
      <c r="C220" s="185"/>
      <c r="D220" s="185"/>
      <c r="E220" s="189"/>
      <c r="F220" s="189"/>
      <c r="G220" s="189"/>
      <c r="H220" s="190"/>
      <c r="I220" s="185"/>
      <c r="J220" s="185"/>
      <c r="K220" s="185"/>
    </row>
    <row r="221" spans="1:11" ht="15.6">
      <c r="A221" s="191" t="s">
        <v>0</v>
      </c>
      <c r="B221" s="192" t="s">
        <v>445</v>
      </c>
      <c r="C221" s="192" t="s">
        <v>446</v>
      </c>
      <c r="D221" s="192" t="s">
        <v>447</v>
      </c>
      <c r="E221" s="193" t="s">
        <v>448</v>
      </c>
      <c r="F221" s="193" t="s">
        <v>449</v>
      </c>
      <c r="G221" s="193"/>
      <c r="H221" s="200" t="s">
        <v>30</v>
      </c>
      <c r="I221" s="192" t="s">
        <v>450</v>
      </c>
      <c r="J221" s="192" t="s">
        <v>451</v>
      </c>
      <c r="K221" s="185"/>
    </row>
    <row r="222" spans="1:11" ht="15.6">
      <c r="A222" s="146">
        <v>45901</v>
      </c>
      <c r="B222" s="179" t="s">
        <v>2878</v>
      </c>
      <c r="C222" s="179"/>
      <c r="D222" s="179"/>
      <c r="E222" s="182"/>
      <c r="F222" s="182"/>
      <c r="G222" s="182"/>
      <c r="H222" s="183">
        <v>133710</v>
      </c>
      <c r="I222" s="183" t="s">
        <v>183</v>
      </c>
      <c r="J222" s="179"/>
      <c r="K222" s="185"/>
    </row>
    <row r="223" spans="1:11" ht="15.6">
      <c r="A223" s="241">
        <v>45901</v>
      </c>
      <c r="B223" s="144" t="s">
        <v>3770</v>
      </c>
      <c r="C223" s="144" t="s">
        <v>176</v>
      </c>
      <c r="D223" s="144" t="s">
        <v>120</v>
      </c>
      <c r="E223" s="144"/>
      <c r="F223" s="144">
        <v>15000</v>
      </c>
      <c r="G223" s="182"/>
      <c r="H223" s="183">
        <f>H222+E223-F223</f>
        <v>118710</v>
      </c>
      <c r="I223" s="144" t="s">
        <v>183</v>
      </c>
      <c r="J223" s="144" t="s">
        <v>3085</v>
      </c>
      <c r="K223" s="185"/>
    </row>
    <row r="224" spans="1:11" ht="15.6">
      <c r="A224" s="241">
        <v>45901</v>
      </c>
      <c r="B224" s="144" t="s">
        <v>3828</v>
      </c>
      <c r="C224" s="144" t="s">
        <v>173</v>
      </c>
      <c r="D224" s="144" t="s">
        <v>120</v>
      </c>
      <c r="E224" s="144"/>
      <c r="F224" s="144">
        <v>1000</v>
      </c>
      <c r="G224" s="182"/>
      <c r="H224" s="183">
        <f t="shared" ref="H224:H287" si="4">H223+E224-F224</f>
        <v>117710</v>
      </c>
      <c r="I224" s="144" t="s">
        <v>183</v>
      </c>
      <c r="J224" s="144" t="s">
        <v>3086</v>
      </c>
      <c r="K224" s="185"/>
    </row>
    <row r="225" spans="1:11" ht="15.6">
      <c r="A225" s="241">
        <v>45901</v>
      </c>
      <c r="B225" s="144" t="s">
        <v>3976</v>
      </c>
      <c r="C225" s="144" t="s">
        <v>173</v>
      </c>
      <c r="D225" s="144" t="s">
        <v>120</v>
      </c>
      <c r="E225" s="144"/>
      <c r="F225" s="144">
        <v>2500</v>
      </c>
      <c r="G225" s="182"/>
      <c r="H225" s="183">
        <f t="shared" si="4"/>
        <v>115210</v>
      </c>
      <c r="I225" s="144" t="s">
        <v>183</v>
      </c>
      <c r="J225" s="144" t="s">
        <v>3086</v>
      </c>
      <c r="K225" s="185"/>
    </row>
    <row r="226" spans="1:11" ht="15.6">
      <c r="A226" s="241">
        <v>45901</v>
      </c>
      <c r="B226" s="174" t="s">
        <v>2990</v>
      </c>
      <c r="C226" s="174" t="s">
        <v>151</v>
      </c>
      <c r="D226" s="174" t="s">
        <v>120</v>
      </c>
      <c r="E226" s="144">
        <v>10000</v>
      </c>
      <c r="F226" s="144"/>
      <c r="G226" s="182"/>
      <c r="H226" s="183">
        <f t="shared" si="4"/>
        <v>125210</v>
      </c>
      <c r="I226" s="144" t="s">
        <v>183</v>
      </c>
      <c r="J226" s="144" t="s">
        <v>3087</v>
      </c>
      <c r="K226" s="185"/>
    </row>
    <row r="227" spans="1:11" ht="15.6">
      <c r="A227" s="241">
        <v>45901</v>
      </c>
      <c r="B227" s="174" t="s">
        <v>2990</v>
      </c>
      <c r="C227" s="174" t="s">
        <v>151</v>
      </c>
      <c r="D227" s="174" t="s">
        <v>2468</v>
      </c>
      <c r="E227" s="144"/>
      <c r="F227" s="144">
        <v>10000</v>
      </c>
      <c r="G227" s="182"/>
      <c r="H227" s="183">
        <f t="shared" si="4"/>
        <v>115210</v>
      </c>
      <c r="I227" s="144" t="s">
        <v>183</v>
      </c>
      <c r="J227" s="144" t="s">
        <v>3087</v>
      </c>
      <c r="K227" s="185"/>
    </row>
    <row r="228" spans="1:11" ht="15.6">
      <c r="A228" s="241">
        <v>45902</v>
      </c>
      <c r="B228" s="144" t="s">
        <v>2991</v>
      </c>
      <c r="C228" s="144" t="s">
        <v>123</v>
      </c>
      <c r="D228" s="144" t="s">
        <v>120</v>
      </c>
      <c r="E228" s="144"/>
      <c r="F228" s="144">
        <v>30000</v>
      </c>
      <c r="G228" s="182"/>
      <c r="H228" s="183">
        <f t="shared" si="4"/>
        <v>85210</v>
      </c>
      <c r="I228" s="144" t="s">
        <v>183</v>
      </c>
      <c r="J228" s="144" t="s">
        <v>3088</v>
      </c>
      <c r="K228" s="185"/>
    </row>
    <row r="229" spans="1:11" ht="15.6">
      <c r="A229" s="241">
        <v>45903</v>
      </c>
      <c r="B229" s="144" t="s">
        <v>2992</v>
      </c>
      <c r="C229" s="144" t="s">
        <v>123</v>
      </c>
      <c r="D229" s="144" t="s">
        <v>120</v>
      </c>
      <c r="E229" s="144">
        <v>100000</v>
      </c>
      <c r="F229" s="144"/>
      <c r="G229" s="182"/>
      <c r="H229" s="183">
        <f t="shared" si="4"/>
        <v>185210</v>
      </c>
      <c r="I229" s="144" t="s">
        <v>183</v>
      </c>
      <c r="J229" s="144" t="s">
        <v>3089</v>
      </c>
      <c r="K229" s="185"/>
    </row>
    <row r="230" spans="1:11" ht="15.6">
      <c r="A230" s="241">
        <v>45903</v>
      </c>
      <c r="B230" s="144" t="s">
        <v>3775</v>
      </c>
      <c r="C230" s="144" t="s">
        <v>173</v>
      </c>
      <c r="D230" s="144" t="s">
        <v>120</v>
      </c>
      <c r="E230" s="144"/>
      <c r="F230" s="144">
        <v>9000</v>
      </c>
      <c r="G230" s="182"/>
      <c r="H230" s="183">
        <f t="shared" si="4"/>
        <v>176210</v>
      </c>
      <c r="I230" s="144" t="s">
        <v>183</v>
      </c>
      <c r="J230" s="144" t="s">
        <v>3090</v>
      </c>
      <c r="K230" s="185"/>
    </row>
    <row r="231" spans="1:11" ht="15.6">
      <c r="A231" s="241">
        <v>45903</v>
      </c>
      <c r="B231" s="144" t="s">
        <v>3977</v>
      </c>
      <c r="C231" s="144" t="s">
        <v>173</v>
      </c>
      <c r="D231" s="144" t="s">
        <v>120</v>
      </c>
      <c r="E231" s="144"/>
      <c r="F231" s="144">
        <v>1000</v>
      </c>
      <c r="G231" s="182"/>
      <c r="H231" s="183">
        <f t="shared" si="4"/>
        <v>175210</v>
      </c>
      <c r="I231" s="144" t="s">
        <v>183</v>
      </c>
      <c r="J231" s="144" t="s">
        <v>3086</v>
      </c>
      <c r="K231" s="185"/>
    </row>
    <row r="232" spans="1:11" ht="15.6">
      <c r="A232" s="241">
        <v>45903</v>
      </c>
      <c r="B232" s="144" t="s">
        <v>2995</v>
      </c>
      <c r="C232" s="144" t="s">
        <v>173</v>
      </c>
      <c r="D232" s="144" t="s">
        <v>120</v>
      </c>
      <c r="E232" s="144"/>
      <c r="F232" s="144">
        <v>1500</v>
      </c>
      <c r="G232" s="182"/>
      <c r="H232" s="183">
        <f t="shared" si="4"/>
        <v>173710</v>
      </c>
      <c r="I232" s="144" t="s">
        <v>183</v>
      </c>
      <c r="J232" s="144" t="s">
        <v>3086</v>
      </c>
      <c r="K232" s="185"/>
    </row>
    <row r="233" spans="1:11" ht="15.6">
      <c r="A233" s="241">
        <v>45904</v>
      </c>
      <c r="B233" s="144" t="s">
        <v>3774</v>
      </c>
      <c r="C233" s="144" t="s">
        <v>176</v>
      </c>
      <c r="D233" s="144" t="s">
        <v>120</v>
      </c>
      <c r="E233" s="144"/>
      <c r="F233" s="144">
        <v>310000</v>
      </c>
      <c r="G233" s="182"/>
      <c r="H233" s="183">
        <f t="shared" si="4"/>
        <v>-136290</v>
      </c>
      <c r="I233" s="144" t="s">
        <v>183</v>
      </c>
      <c r="J233" s="144" t="s">
        <v>3091</v>
      </c>
      <c r="K233" s="185"/>
    </row>
    <row r="234" spans="1:11" ht="15.6">
      <c r="A234" s="241">
        <v>45904</v>
      </c>
      <c r="B234" s="144" t="s">
        <v>3978</v>
      </c>
      <c r="C234" s="144" t="s">
        <v>173</v>
      </c>
      <c r="D234" s="144" t="s">
        <v>120</v>
      </c>
      <c r="E234" s="144"/>
      <c r="F234" s="144">
        <v>1000</v>
      </c>
      <c r="G234" s="182"/>
      <c r="H234" s="183">
        <f t="shared" si="4"/>
        <v>-137290</v>
      </c>
      <c r="I234" s="144" t="s">
        <v>183</v>
      </c>
      <c r="J234" s="144" t="s">
        <v>3086</v>
      </c>
      <c r="K234" s="185"/>
    </row>
    <row r="235" spans="1:11" ht="15.6">
      <c r="A235" s="241">
        <v>45904</v>
      </c>
      <c r="B235" s="144" t="s">
        <v>3979</v>
      </c>
      <c r="C235" s="144" t="s">
        <v>173</v>
      </c>
      <c r="D235" s="144" t="s">
        <v>120</v>
      </c>
      <c r="E235" s="144"/>
      <c r="F235" s="144">
        <v>1000</v>
      </c>
      <c r="G235" s="182"/>
      <c r="H235" s="183">
        <f t="shared" si="4"/>
        <v>-138290</v>
      </c>
      <c r="I235" s="144" t="s">
        <v>183</v>
      </c>
      <c r="J235" s="144" t="s">
        <v>3086</v>
      </c>
      <c r="K235" s="185"/>
    </row>
    <row r="236" spans="1:11" ht="15.6">
      <c r="A236" s="241">
        <v>45904</v>
      </c>
      <c r="B236" s="144" t="s">
        <v>3778</v>
      </c>
      <c r="C236" s="144" t="s">
        <v>173</v>
      </c>
      <c r="D236" s="144" t="s">
        <v>120</v>
      </c>
      <c r="E236" s="144"/>
      <c r="F236" s="144">
        <v>1000</v>
      </c>
      <c r="G236" s="182"/>
      <c r="H236" s="183">
        <f t="shared" si="4"/>
        <v>-139290</v>
      </c>
      <c r="I236" s="144" t="s">
        <v>183</v>
      </c>
      <c r="J236" s="144" t="s">
        <v>3086</v>
      </c>
      <c r="K236" s="185"/>
    </row>
    <row r="237" spans="1:11" ht="15.6">
      <c r="A237" s="241">
        <v>45904</v>
      </c>
      <c r="B237" s="144" t="s">
        <v>3977</v>
      </c>
      <c r="C237" s="144" t="s">
        <v>173</v>
      </c>
      <c r="D237" s="144" t="s">
        <v>120</v>
      </c>
      <c r="E237" s="144"/>
      <c r="F237" s="144">
        <v>1000</v>
      </c>
      <c r="G237" s="182"/>
      <c r="H237" s="183">
        <f t="shared" si="4"/>
        <v>-140290</v>
      </c>
      <c r="I237" s="144" t="s">
        <v>183</v>
      </c>
      <c r="J237" s="144" t="s">
        <v>3086</v>
      </c>
      <c r="K237" s="185"/>
    </row>
    <row r="238" spans="1:11" ht="15.6">
      <c r="A238" s="241">
        <v>45905</v>
      </c>
      <c r="B238" s="144" t="s">
        <v>3823</v>
      </c>
      <c r="C238" s="144" t="s">
        <v>173</v>
      </c>
      <c r="D238" s="144" t="s">
        <v>120</v>
      </c>
      <c r="E238" s="144"/>
      <c r="F238" s="144">
        <v>1000</v>
      </c>
      <c r="G238" s="182"/>
      <c r="H238" s="183">
        <f t="shared" si="4"/>
        <v>-141290</v>
      </c>
      <c r="I238" s="144" t="s">
        <v>183</v>
      </c>
      <c r="J238" s="144" t="s">
        <v>3086</v>
      </c>
      <c r="K238" s="185"/>
    </row>
    <row r="239" spans="1:11" ht="15.6">
      <c r="A239" s="241">
        <v>45905</v>
      </c>
      <c r="B239" s="144" t="s">
        <v>3779</v>
      </c>
      <c r="C239" s="144" t="s">
        <v>173</v>
      </c>
      <c r="D239" s="144" t="s">
        <v>120</v>
      </c>
      <c r="E239" s="144"/>
      <c r="F239" s="144">
        <v>1000</v>
      </c>
      <c r="G239" s="182"/>
      <c r="H239" s="183">
        <f t="shared" si="4"/>
        <v>-142290</v>
      </c>
      <c r="I239" s="144" t="s">
        <v>183</v>
      </c>
      <c r="J239" s="144" t="s">
        <v>3086</v>
      </c>
      <c r="K239" s="185"/>
    </row>
    <row r="240" spans="1:11" ht="15.6">
      <c r="A240" s="241">
        <v>45905</v>
      </c>
      <c r="B240" s="144" t="s">
        <v>3779</v>
      </c>
      <c r="C240" s="144" t="s">
        <v>173</v>
      </c>
      <c r="D240" s="144" t="s">
        <v>120</v>
      </c>
      <c r="E240" s="144"/>
      <c r="F240" s="144">
        <v>1000</v>
      </c>
      <c r="G240" s="182"/>
      <c r="H240" s="183">
        <f t="shared" si="4"/>
        <v>-143290</v>
      </c>
      <c r="I240" s="144" t="s">
        <v>183</v>
      </c>
      <c r="J240" s="144" t="s">
        <v>3086</v>
      </c>
      <c r="K240" s="185"/>
    </row>
    <row r="241" spans="1:11" ht="15.6">
      <c r="A241" s="241">
        <v>45905</v>
      </c>
      <c r="B241" s="144" t="s">
        <v>3778</v>
      </c>
      <c r="C241" s="144" t="s">
        <v>173</v>
      </c>
      <c r="D241" s="144" t="s">
        <v>120</v>
      </c>
      <c r="E241" s="144"/>
      <c r="F241" s="144">
        <v>1000</v>
      </c>
      <c r="G241" s="182"/>
      <c r="H241" s="183">
        <f t="shared" si="4"/>
        <v>-144290</v>
      </c>
      <c r="I241" s="144" t="s">
        <v>183</v>
      </c>
      <c r="J241" s="144" t="s">
        <v>3086</v>
      </c>
      <c r="K241" s="185"/>
    </row>
    <row r="242" spans="1:11" ht="15.6">
      <c r="A242" s="241">
        <v>45905</v>
      </c>
      <c r="B242" s="144" t="s">
        <v>3978</v>
      </c>
      <c r="C242" s="144" t="s">
        <v>173</v>
      </c>
      <c r="D242" s="144" t="s">
        <v>120</v>
      </c>
      <c r="E242" s="144"/>
      <c r="F242" s="144">
        <v>1000</v>
      </c>
      <c r="G242" s="182"/>
      <c r="H242" s="183">
        <f t="shared" si="4"/>
        <v>-145290</v>
      </c>
      <c r="I242" s="144" t="s">
        <v>183</v>
      </c>
      <c r="J242" s="144" t="s">
        <v>3086</v>
      </c>
      <c r="K242" s="185"/>
    </row>
    <row r="243" spans="1:11" ht="15.6">
      <c r="A243" s="241">
        <v>45905</v>
      </c>
      <c r="B243" s="144" t="s">
        <v>3003</v>
      </c>
      <c r="C243" s="144" t="s">
        <v>368</v>
      </c>
      <c r="D243" s="144" t="s">
        <v>120</v>
      </c>
      <c r="E243" s="144"/>
      <c r="F243" s="144">
        <v>1000</v>
      </c>
      <c r="G243" s="182"/>
      <c r="H243" s="183">
        <f t="shared" si="4"/>
        <v>-146290</v>
      </c>
      <c r="I243" s="144" t="s">
        <v>183</v>
      </c>
      <c r="J243" s="144" t="s">
        <v>3092</v>
      </c>
      <c r="K243" s="185"/>
    </row>
    <row r="244" spans="1:11" ht="15.6">
      <c r="A244" s="241">
        <v>45905</v>
      </c>
      <c r="B244" s="144" t="s">
        <v>2992</v>
      </c>
      <c r="C244" s="144" t="s">
        <v>123</v>
      </c>
      <c r="D244" s="144" t="s">
        <v>120</v>
      </c>
      <c r="E244" s="144">
        <v>113000</v>
      </c>
      <c r="F244" s="144"/>
      <c r="G244" s="182"/>
      <c r="H244" s="183">
        <f t="shared" si="4"/>
        <v>-33290</v>
      </c>
      <c r="I244" s="144" t="s">
        <v>183</v>
      </c>
      <c r="J244" s="144" t="s">
        <v>3093</v>
      </c>
      <c r="K244" s="185"/>
    </row>
    <row r="245" spans="1:11" ht="15.6">
      <c r="A245" s="241">
        <v>45906</v>
      </c>
      <c r="B245" s="144" t="s">
        <v>3778</v>
      </c>
      <c r="C245" s="144" t="s">
        <v>173</v>
      </c>
      <c r="D245" s="144" t="s">
        <v>120</v>
      </c>
      <c r="E245" s="144"/>
      <c r="F245" s="144">
        <v>1000</v>
      </c>
      <c r="G245" s="182"/>
      <c r="H245" s="183">
        <f t="shared" si="4"/>
        <v>-34290</v>
      </c>
      <c r="I245" s="144" t="s">
        <v>183</v>
      </c>
      <c r="J245" s="144" t="s">
        <v>3086</v>
      </c>
      <c r="K245" s="185"/>
    </row>
    <row r="246" spans="1:11" ht="15.6">
      <c r="A246" s="241">
        <v>45906</v>
      </c>
      <c r="B246" s="144" t="s">
        <v>3779</v>
      </c>
      <c r="C246" s="144" t="s">
        <v>173</v>
      </c>
      <c r="D246" s="144" t="s">
        <v>120</v>
      </c>
      <c r="E246" s="144"/>
      <c r="F246" s="144">
        <v>1000</v>
      </c>
      <c r="G246" s="182"/>
      <c r="H246" s="183">
        <f t="shared" si="4"/>
        <v>-35290</v>
      </c>
      <c r="I246" s="144" t="s">
        <v>183</v>
      </c>
      <c r="J246" s="144" t="s">
        <v>3086</v>
      </c>
      <c r="K246" s="185"/>
    </row>
    <row r="247" spans="1:11" ht="15.6">
      <c r="A247" s="241">
        <v>45906</v>
      </c>
      <c r="B247" s="144" t="s">
        <v>3778</v>
      </c>
      <c r="C247" s="144" t="s">
        <v>173</v>
      </c>
      <c r="D247" s="144" t="s">
        <v>120</v>
      </c>
      <c r="E247" s="144"/>
      <c r="F247" s="144">
        <v>1000</v>
      </c>
      <c r="G247" s="182"/>
      <c r="H247" s="183">
        <f t="shared" si="4"/>
        <v>-36290</v>
      </c>
      <c r="I247" s="144" t="s">
        <v>183</v>
      </c>
      <c r="J247" s="144" t="s">
        <v>3086</v>
      </c>
      <c r="K247" s="185"/>
    </row>
    <row r="248" spans="1:11" ht="15.6">
      <c r="A248" s="241">
        <v>45906</v>
      </c>
      <c r="B248" s="144" t="s">
        <v>3779</v>
      </c>
      <c r="C248" s="144" t="s">
        <v>173</v>
      </c>
      <c r="D248" s="144" t="s">
        <v>120</v>
      </c>
      <c r="E248" s="144"/>
      <c r="F248" s="144">
        <v>1000</v>
      </c>
      <c r="G248" s="182"/>
      <c r="H248" s="183">
        <f t="shared" si="4"/>
        <v>-37290</v>
      </c>
      <c r="I248" s="144" t="s">
        <v>183</v>
      </c>
      <c r="J248" s="144" t="s">
        <v>3086</v>
      </c>
      <c r="K248" s="185"/>
    </row>
    <row r="249" spans="1:11" ht="15.6">
      <c r="A249" s="241">
        <v>45906</v>
      </c>
      <c r="B249" s="144" t="s">
        <v>3977</v>
      </c>
      <c r="C249" s="144" t="s">
        <v>173</v>
      </c>
      <c r="D249" s="144" t="s">
        <v>120</v>
      </c>
      <c r="E249" s="144"/>
      <c r="F249" s="144">
        <v>1000</v>
      </c>
      <c r="G249" s="182"/>
      <c r="H249" s="183">
        <f t="shared" si="4"/>
        <v>-38290</v>
      </c>
      <c r="I249" s="144" t="s">
        <v>183</v>
      </c>
      <c r="J249" s="144" t="s">
        <v>3086</v>
      </c>
      <c r="K249" s="185"/>
    </row>
    <row r="250" spans="1:11" ht="15.6">
      <c r="A250" s="241">
        <v>45906</v>
      </c>
      <c r="B250" s="144" t="s">
        <v>3003</v>
      </c>
      <c r="C250" s="144" t="s">
        <v>368</v>
      </c>
      <c r="D250" s="144" t="s">
        <v>120</v>
      </c>
      <c r="E250" s="144"/>
      <c r="F250" s="144">
        <v>2000</v>
      </c>
      <c r="G250" s="182"/>
      <c r="H250" s="183">
        <f t="shared" si="4"/>
        <v>-40290</v>
      </c>
      <c r="I250" s="144" t="s">
        <v>183</v>
      </c>
      <c r="J250" s="144" t="s">
        <v>3092</v>
      </c>
      <c r="K250" s="185"/>
    </row>
    <row r="251" spans="1:11" ht="15.6">
      <c r="A251" s="241">
        <v>45907</v>
      </c>
      <c r="B251" s="144" t="s">
        <v>3778</v>
      </c>
      <c r="C251" s="144" t="s">
        <v>173</v>
      </c>
      <c r="D251" s="144" t="s">
        <v>120</v>
      </c>
      <c r="E251" s="144"/>
      <c r="F251" s="144">
        <v>1000</v>
      </c>
      <c r="G251" s="182"/>
      <c r="H251" s="183">
        <f t="shared" si="4"/>
        <v>-41290</v>
      </c>
      <c r="I251" s="144" t="s">
        <v>183</v>
      </c>
      <c r="J251" s="144" t="s">
        <v>3086</v>
      </c>
      <c r="K251" s="185"/>
    </row>
    <row r="252" spans="1:11" ht="15.6">
      <c r="A252" s="241">
        <v>45907</v>
      </c>
      <c r="B252" s="144" t="s">
        <v>3779</v>
      </c>
      <c r="C252" s="144" t="s">
        <v>173</v>
      </c>
      <c r="D252" s="144" t="s">
        <v>120</v>
      </c>
      <c r="E252" s="144"/>
      <c r="F252" s="144">
        <v>1000</v>
      </c>
      <c r="G252" s="182"/>
      <c r="H252" s="183">
        <f t="shared" si="4"/>
        <v>-42290</v>
      </c>
      <c r="I252" s="144" t="s">
        <v>183</v>
      </c>
      <c r="J252" s="144" t="s">
        <v>3086</v>
      </c>
      <c r="K252" s="185"/>
    </row>
    <row r="253" spans="1:11" ht="15.6">
      <c r="A253" s="241">
        <v>45907</v>
      </c>
      <c r="B253" s="144" t="s">
        <v>3779</v>
      </c>
      <c r="C253" s="144" t="s">
        <v>173</v>
      </c>
      <c r="D253" s="144" t="s">
        <v>120</v>
      </c>
      <c r="E253" s="144"/>
      <c r="F253" s="144">
        <v>1000</v>
      </c>
      <c r="G253" s="182"/>
      <c r="H253" s="183">
        <f t="shared" si="4"/>
        <v>-43290</v>
      </c>
      <c r="I253" s="144" t="s">
        <v>183</v>
      </c>
      <c r="J253" s="144" t="s">
        <v>3086</v>
      </c>
      <c r="K253" s="185"/>
    </row>
    <row r="254" spans="1:11" ht="15.6">
      <c r="A254" s="241">
        <v>45907</v>
      </c>
      <c r="B254" s="144" t="s">
        <v>3779</v>
      </c>
      <c r="C254" s="144" t="s">
        <v>173</v>
      </c>
      <c r="D254" s="144" t="s">
        <v>120</v>
      </c>
      <c r="E254" s="144"/>
      <c r="F254" s="144">
        <v>1000</v>
      </c>
      <c r="G254" s="182"/>
      <c r="H254" s="183">
        <f t="shared" si="4"/>
        <v>-44290</v>
      </c>
      <c r="I254" s="144" t="s">
        <v>183</v>
      </c>
      <c r="J254" s="144" t="s">
        <v>3086</v>
      </c>
      <c r="K254" s="185"/>
    </row>
    <row r="255" spans="1:11" ht="15.6">
      <c r="A255" s="241">
        <v>45907</v>
      </c>
      <c r="B255" s="144" t="s">
        <v>3823</v>
      </c>
      <c r="C255" s="144" t="s">
        <v>173</v>
      </c>
      <c r="D255" s="144" t="s">
        <v>120</v>
      </c>
      <c r="E255" s="144"/>
      <c r="F255" s="144">
        <v>1000</v>
      </c>
      <c r="G255" s="182"/>
      <c r="H255" s="183">
        <f t="shared" si="4"/>
        <v>-45290</v>
      </c>
      <c r="I255" s="144" t="s">
        <v>183</v>
      </c>
      <c r="J255" s="144" t="s">
        <v>3086</v>
      </c>
      <c r="K255" s="185"/>
    </row>
    <row r="256" spans="1:11" ht="15.6">
      <c r="A256" s="241">
        <v>45907</v>
      </c>
      <c r="B256" s="144" t="s">
        <v>3823</v>
      </c>
      <c r="C256" s="144" t="s">
        <v>173</v>
      </c>
      <c r="D256" s="144" t="s">
        <v>120</v>
      </c>
      <c r="E256" s="144"/>
      <c r="F256" s="144">
        <v>1000</v>
      </c>
      <c r="G256" s="182"/>
      <c r="H256" s="183">
        <f t="shared" si="4"/>
        <v>-46290</v>
      </c>
      <c r="I256" s="144" t="s">
        <v>183</v>
      </c>
      <c r="J256" s="144" t="s">
        <v>3086</v>
      </c>
      <c r="K256" s="185"/>
    </row>
    <row r="257" spans="1:11" ht="15.6">
      <c r="A257" s="241">
        <v>45907</v>
      </c>
      <c r="B257" s="144" t="s">
        <v>3003</v>
      </c>
      <c r="C257" s="144" t="s">
        <v>368</v>
      </c>
      <c r="D257" s="144" t="s">
        <v>120</v>
      </c>
      <c r="E257" s="144"/>
      <c r="F257" s="144">
        <v>2000</v>
      </c>
      <c r="G257" s="182"/>
      <c r="H257" s="183">
        <f t="shared" si="4"/>
        <v>-48290</v>
      </c>
      <c r="I257" s="144" t="s">
        <v>183</v>
      </c>
      <c r="J257" s="144" t="s">
        <v>3092</v>
      </c>
      <c r="K257" s="185"/>
    </row>
    <row r="258" spans="1:11" ht="15.6">
      <c r="A258" s="241">
        <v>45908</v>
      </c>
      <c r="B258" s="144" t="s">
        <v>3754</v>
      </c>
      <c r="C258" s="144" t="s">
        <v>173</v>
      </c>
      <c r="D258" s="144" t="s">
        <v>120</v>
      </c>
      <c r="E258" s="144"/>
      <c r="F258" s="144">
        <v>3000</v>
      </c>
      <c r="G258" s="182"/>
      <c r="H258" s="183">
        <f t="shared" si="4"/>
        <v>-51290</v>
      </c>
      <c r="I258" s="144" t="s">
        <v>183</v>
      </c>
      <c r="J258" s="144" t="s">
        <v>3094</v>
      </c>
      <c r="K258" s="185"/>
    </row>
    <row r="259" spans="1:11" ht="15.6">
      <c r="A259" s="241">
        <v>45908</v>
      </c>
      <c r="B259" s="144" t="s">
        <v>3977</v>
      </c>
      <c r="C259" s="144" t="s">
        <v>173</v>
      </c>
      <c r="D259" s="144" t="s">
        <v>120</v>
      </c>
      <c r="E259" s="144"/>
      <c r="F259" s="144">
        <v>1500</v>
      </c>
      <c r="G259" s="182"/>
      <c r="H259" s="183">
        <f t="shared" si="4"/>
        <v>-52790</v>
      </c>
      <c r="I259" s="144" t="s">
        <v>183</v>
      </c>
      <c r="J259" s="144" t="s">
        <v>3086</v>
      </c>
      <c r="K259" s="185"/>
    </row>
    <row r="260" spans="1:11" ht="15.6">
      <c r="A260" s="241">
        <v>45908</v>
      </c>
      <c r="B260" s="144" t="s">
        <v>3980</v>
      </c>
      <c r="C260" s="144" t="s">
        <v>173</v>
      </c>
      <c r="D260" s="144" t="s">
        <v>120</v>
      </c>
      <c r="E260" s="144"/>
      <c r="F260" s="144">
        <v>1000</v>
      </c>
      <c r="G260" s="182"/>
      <c r="H260" s="183">
        <f t="shared" si="4"/>
        <v>-53790</v>
      </c>
      <c r="I260" s="144" t="s">
        <v>183</v>
      </c>
      <c r="J260" s="144" t="s">
        <v>3086</v>
      </c>
      <c r="K260" s="185"/>
    </row>
    <row r="261" spans="1:11" ht="15.6">
      <c r="A261" s="241">
        <v>45908</v>
      </c>
      <c r="B261" s="144" t="s">
        <v>3779</v>
      </c>
      <c r="C261" s="144" t="s">
        <v>173</v>
      </c>
      <c r="D261" s="144" t="s">
        <v>120</v>
      </c>
      <c r="E261" s="144"/>
      <c r="F261" s="144">
        <v>1000</v>
      </c>
      <c r="G261" s="182"/>
      <c r="H261" s="183">
        <f t="shared" si="4"/>
        <v>-54790</v>
      </c>
      <c r="I261" s="144" t="s">
        <v>183</v>
      </c>
      <c r="J261" s="144" t="s">
        <v>3086</v>
      </c>
      <c r="K261" s="185"/>
    </row>
    <row r="262" spans="1:11" ht="15.6">
      <c r="A262" s="241">
        <v>45908</v>
      </c>
      <c r="B262" s="144" t="s">
        <v>3778</v>
      </c>
      <c r="C262" s="144" t="s">
        <v>173</v>
      </c>
      <c r="D262" s="144" t="s">
        <v>120</v>
      </c>
      <c r="E262" s="144"/>
      <c r="F262" s="144">
        <v>1000</v>
      </c>
      <c r="G262" s="182"/>
      <c r="H262" s="183">
        <f t="shared" si="4"/>
        <v>-55790</v>
      </c>
      <c r="I262" s="144" t="s">
        <v>183</v>
      </c>
      <c r="J262" s="144" t="s">
        <v>3086</v>
      </c>
      <c r="K262" s="185"/>
    </row>
    <row r="263" spans="1:11" ht="15.6">
      <c r="A263" s="241">
        <v>45908</v>
      </c>
      <c r="B263" s="144" t="s">
        <v>3778</v>
      </c>
      <c r="C263" s="144" t="s">
        <v>173</v>
      </c>
      <c r="D263" s="144" t="s">
        <v>120</v>
      </c>
      <c r="E263" s="144"/>
      <c r="F263" s="144">
        <v>1000</v>
      </c>
      <c r="G263" s="182"/>
      <c r="H263" s="183">
        <f t="shared" si="4"/>
        <v>-56790</v>
      </c>
      <c r="I263" s="144" t="s">
        <v>183</v>
      </c>
      <c r="J263" s="144" t="s">
        <v>3086</v>
      </c>
      <c r="K263" s="185"/>
    </row>
    <row r="264" spans="1:11" ht="15.6">
      <c r="A264" s="241">
        <v>45908</v>
      </c>
      <c r="B264" s="144" t="s">
        <v>3978</v>
      </c>
      <c r="C264" s="144" t="s">
        <v>173</v>
      </c>
      <c r="D264" s="144" t="s">
        <v>120</v>
      </c>
      <c r="E264" s="144"/>
      <c r="F264" s="144">
        <v>1000</v>
      </c>
      <c r="G264" s="182"/>
      <c r="H264" s="183">
        <f t="shared" si="4"/>
        <v>-57790</v>
      </c>
      <c r="I264" s="144" t="s">
        <v>183</v>
      </c>
      <c r="J264" s="144" t="s">
        <v>3086</v>
      </c>
      <c r="K264" s="185"/>
    </row>
    <row r="265" spans="1:11" ht="15.6">
      <c r="A265" s="241">
        <v>45908</v>
      </c>
      <c r="B265" s="174" t="s">
        <v>3019</v>
      </c>
      <c r="C265" s="174" t="s">
        <v>151</v>
      </c>
      <c r="D265" s="174" t="s">
        <v>120</v>
      </c>
      <c r="E265" s="144">
        <v>10000</v>
      </c>
      <c r="F265" s="144"/>
      <c r="G265" s="182"/>
      <c r="H265" s="183">
        <f t="shared" si="4"/>
        <v>-47790</v>
      </c>
      <c r="I265" s="144" t="s">
        <v>183</v>
      </c>
      <c r="J265" s="144" t="s">
        <v>3095</v>
      </c>
      <c r="K265" s="185"/>
    </row>
    <row r="266" spans="1:11" ht="15.6">
      <c r="A266" s="241">
        <v>45908</v>
      </c>
      <c r="B266" s="174" t="s">
        <v>3019</v>
      </c>
      <c r="C266" s="174" t="s">
        <v>151</v>
      </c>
      <c r="D266" s="174" t="s">
        <v>2468</v>
      </c>
      <c r="E266" s="144"/>
      <c r="F266" s="144">
        <v>10000</v>
      </c>
      <c r="G266" s="182"/>
      <c r="H266" s="183">
        <f t="shared" si="4"/>
        <v>-57790</v>
      </c>
      <c r="I266" s="144" t="s">
        <v>183</v>
      </c>
      <c r="J266" s="144" t="s">
        <v>3095</v>
      </c>
      <c r="K266" s="185"/>
    </row>
    <row r="267" spans="1:11" ht="15.6">
      <c r="A267" s="241">
        <v>45908</v>
      </c>
      <c r="B267" s="144" t="s">
        <v>3759</v>
      </c>
      <c r="C267" s="144" t="s">
        <v>173</v>
      </c>
      <c r="D267" s="144" t="s">
        <v>120</v>
      </c>
      <c r="E267" s="144"/>
      <c r="F267" s="144">
        <v>3000</v>
      </c>
      <c r="G267" s="182"/>
      <c r="H267" s="183">
        <f t="shared" si="4"/>
        <v>-60790</v>
      </c>
      <c r="I267" s="144" t="s">
        <v>183</v>
      </c>
      <c r="J267" s="144" t="s">
        <v>3096</v>
      </c>
      <c r="K267" s="185"/>
    </row>
    <row r="268" spans="1:11" ht="15.6">
      <c r="A268" s="241">
        <v>45908</v>
      </c>
      <c r="B268" s="144" t="s">
        <v>3981</v>
      </c>
      <c r="C268" s="144" t="s">
        <v>173</v>
      </c>
      <c r="D268" s="144" t="s">
        <v>120</v>
      </c>
      <c r="E268" s="144"/>
      <c r="F268" s="144">
        <v>1500</v>
      </c>
      <c r="G268" s="182"/>
      <c r="H268" s="183">
        <f t="shared" si="4"/>
        <v>-62290</v>
      </c>
      <c r="I268" s="144" t="s">
        <v>183</v>
      </c>
      <c r="J268" s="144" t="s">
        <v>3086</v>
      </c>
      <c r="K268" s="185"/>
    </row>
    <row r="269" spans="1:11" ht="15.6">
      <c r="A269" s="241">
        <v>45908</v>
      </c>
      <c r="B269" s="144" t="s">
        <v>3003</v>
      </c>
      <c r="C269" s="144" t="s">
        <v>368</v>
      </c>
      <c r="D269" s="144" t="s">
        <v>120</v>
      </c>
      <c r="E269" s="144"/>
      <c r="F269" s="144">
        <v>2000</v>
      </c>
      <c r="G269" s="182"/>
      <c r="H269" s="183">
        <f t="shared" si="4"/>
        <v>-64290</v>
      </c>
      <c r="I269" s="144" t="s">
        <v>183</v>
      </c>
      <c r="J269" s="144" t="s">
        <v>3092</v>
      </c>
      <c r="K269" s="185"/>
    </row>
    <row r="270" spans="1:11" ht="15.6">
      <c r="A270" s="241">
        <v>45909</v>
      </c>
      <c r="B270" s="144" t="s">
        <v>3759</v>
      </c>
      <c r="C270" s="144" t="s">
        <v>173</v>
      </c>
      <c r="D270" s="144" t="s">
        <v>120</v>
      </c>
      <c r="E270" s="144"/>
      <c r="F270" s="144">
        <v>5000</v>
      </c>
      <c r="G270" s="182"/>
      <c r="H270" s="183">
        <f t="shared" si="4"/>
        <v>-69290</v>
      </c>
      <c r="I270" s="144" t="s">
        <v>183</v>
      </c>
      <c r="J270" s="144" t="s">
        <v>3097</v>
      </c>
      <c r="K270" s="185"/>
    </row>
    <row r="271" spans="1:11" ht="15.6">
      <c r="A271" s="241">
        <v>45909</v>
      </c>
      <c r="B271" s="144" t="s">
        <v>3982</v>
      </c>
      <c r="C271" s="144" t="s">
        <v>173</v>
      </c>
      <c r="D271" s="144" t="s">
        <v>120</v>
      </c>
      <c r="E271" s="144"/>
      <c r="F271" s="144">
        <v>5000</v>
      </c>
      <c r="G271" s="182"/>
      <c r="H271" s="183">
        <f t="shared" si="4"/>
        <v>-74290</v>
      </c>
      <c r="I271" s="144" t="s">
        <v>183</v>
      </c>
      <c r="J271" s="144" t="s">
        <v>3098</v>
      </c>
      <c r="K271" s="185"/>
    </row>
    <row r="272" spans="1:11" ht="15.6">
      <c r="A272" s="241">
        <v>45909</v>
      </c>
      <c r="B272" s="144" t="s">
        <v>3983</v>
      </c>
      <c r="C272" s="144" t="s">
        <v>173</v>
      </c>
      <c r="D272" s="144" t="s">
        <v>120</v>
      </c>
      <c r="E272" s="144"/>
      <c r="F272" s="144">
        <v>1500</v>
      </c>
      <c r="G272" s="182"/>
      <c r="H272" s="183">
        <f t="shared" si="4"/>
        <v>-75790</v>
      </c>
      <c r="I272" s="144" t="s">
        <v>183</v>
      </c>
      <c r="J272" s="144" t="s">
        <v>3086</v>
      </c>
      <c r="K272" s="185"/>
    </row>
    <row r="273" spans="1:11" ht="15.6">
      <c r="A273" s="241">
        <v>45909</v>
      </c>
      <c r="B273" s="144" t="s">
        <v>3810</v>
      </c>
      <c r="C273" s="144" t="s">
        <v>173</v>
      </c>
      <c r="D273" s="144" t="s">
        <v>120</v>
      </c>
      <c r="E273" s="144"/>
      <c r="F273" s="144">
        <v>500</v>
      </c>
      <c r="G273" s="182"/>
      <c r="H273" s="183">
        <f t="shared" si="4"/>
        <v>-76290</v>
      </c>
      <c r="I273" s="144" t="s">
        <v>183</v>
      </c>
      <c r="J273" s="144" t="s">
        <v>3086</v>
      </c>
      <c r="K273" s="185"/>
    </row>
    <row r="274" spans="1:11" ht="15.6">
      <c r="A274" s="241">
        <v>45909</v>
      </c>
      <c r="B274" s="144" t="s">
        <v>3831</v>
      </c>
      <c r="C274" s="144" t="s">
        <v>173</v>
      </c>
      <c r="D274" s="144" t="s">
        <v>120</v>
      </c>
      <c r="E274" s="144"/>
      <c r="F274" s="144">
        <v>700</v>
      </c>
      <c r="G274" s="182"/>
      <c r="H274" s="183">
        <f t="shared" si="4"/>
        <v>-76990</v>
      </c>
      <c r="I274" s="144" t="s">
        <v>183</v>
      </c>
      <c r="J274" s="144" t="s">
        <v>3086</v>
      </c>
      <c r="K274" s="185"/>
    </row>
    <row r="275" spans="1:11" ht="15.6">
      <c r="A275" s="241">
        <v>45909</v>
      </c>
      <c r="B275" s="144" t="s">
        <v>3831</v>
      </c>
      <c r="C275" s="144" t="s">
        <v>173</v>
      </c>
      <c r="D275" s="144" t="s">
        <v>120</v>
      </c>
      <c r="E275" s="144"/>
      <c r="F275" s="144">
        <v>700</v>
      </c>
      <c r="G275" s="182"/>
      <c r="H275" s="183">
        <f t="shared" si="4"/>
        <v>-77690</v>
      </c>
      <c r="I275" s="144" t="s">
        <v>183</v>
      </c>
      <c r="J275" s="144" t="s">
        <v>3086</v>
      </c>
      <c r="K275" s="185"/>
    </row>
    <row r="276" spans="1:11" ht="15.6">
      <c r="A276" s="241">
        <v>45909</v>
      </c>
      <c r="B276" s="144" t="s">
        <v>3830</v>
      </c>
      <c r="C276" s="144" t="s">
        <v>173</v>
      </c>
      <c r="D276" s="144" t="s">
        <v>120</v>
      </c>
      <c r="E276" s="144"/>
      <c r="F276" s="144">
        <v>700</v>
      </c>
      <c r="G276" s="182"/>
      <c r="H276" s="183">
        <f t="shared" si="4"/>
        <v>-78390</v>
      </c>
      <c r="I276" s="144" t="s">
        <v>183</v>
      </c>
      <c r="J276" s="144" t="s">
        <v>3086</v>
      </c>
      <c r="K276" s="185"/>
    </row>
    <row r="277" spans="1:11" ht="15.6">
      <c r="A277" s="241">
        <v>45909</v>
      </c>
      <c r="B277" s="144" t="s">
        <v>3984</v>
      </c>
      <c r="C277" s="144" t="s">
        <v>173</v>
      </c>
      <c r="D277" s="144" t="s">
        <v>120</v>
      </c>
      <c r="E277" s="144"/>
      <c r="F277" s="144">
        <v>500</v>
      </c>
      <c r="G277" s="182"/>
      <c r="H277" s="183">
        <f t="shared" si="4"/>
        <v>-78890</v>
      </c>
      <c r="I277" s="144" t="s">
        <v>183</v>
      </c>
      <c r="J277" s="144" t="s">
        <v>3086</v>
      </c>
      <c r="K277" s="185"/>
    </row>
    <row r="278" spans="1:11" ht="15.6">
      <c r="A278" s="241">
        <v>45909</v>
      </c>
      <c r="B278" s="144" t="s">
        <v>3985</v>
      </c>
      <c r="C278" s="144" t="s">
        <v>173</v>
      </c>
      <c r="D278" s="144" t="s">
        <v>120</v>
      </c>
      <c r="E278" s="144"/>
      <c r="F278" s="144">
        <v>1500</v>
      </c>
      <c r="G278" s="182"/>
      <c r="H278" s="183">
        <f t="shared" si="4"/>
        <v>-80390</v>
      </c>
      <c r="I278" s="144" t="s">
        <v>183</v>
      </c>
      <c r="J278" s="144" t="s">
        <v>3086</v>
      </c>
      <c r="K278" s="185"/>
    </row>
    <row r="279" spans="1:11" ht="15.6">
      <c r="A279" s="241">
        <v>45909</v>
      </c>
      <c r="B279" s="144" t="s">
        <v>3003</v>
      </c>
      <c r="C279" s="144" t="s">
        <v>368</v>
      </c>
      <c r="D279" s="144" t="s">
        <v>120</v>
      </c>
      <c r="E279" s="144"/>
      <c r="F279" s="144">
        <v>2000</v>
      </c>
      <c r="G279" s="182"/>
      <c r="H279" s="183">
        <f t="shared" si="4"/>
        <v>-82390</v>
      </c>
      <c r="I279" s="144" t="s">
        <v>183</v>
      </c>
      <c r="J279" s="144" t="s">
        <v>3092</v>
      </c>
      <c r="K279" s="185"/>
    </row>
    <row r="280" spans="1:11" ht="15.6">
      <c r="A280" s="241">
        <v>45910</v>
      </c>
      <c r="B280" s="144" t="s">
        <v>2992</v>
      </c>
      <c r="C280" s="144" t="s">
        <v>123</v>
      </c>
      <c r="D280" s="144" t="s">
        <v>120</v>
      </c>
      <c r="E280" s="144">
        <v>28000</v>
      </c>
      <c r="F280" s="144"/>
      <c r="G280" s="182"/>
      <c r="H280" s="183">
        <f t="shared" si="4"/>
        <v>-54390</v>
      </c>
      <c r="I280" s="144" t="s">
        <v>183</v>
      </c>
      <c r="J280" s="144" t="s">
        <v>3099</v>
      </c>
      <c r="K280" s="185"/>
    </row>
    <row r="281" spans="1:11" ht="15.6">
      <c r="A281" s="241">
        <v>45910</v>
      </c>
      <c r="B281" s="144" t="s">
        <v>3779</v>
      </c>
      <c r="C281" s="144" t="s">
        <v>173</v>
      </c>
      <c r="D281" s="144" t="s">
        <v>120</v>
      </c>
      <c r="E281" s="144"/>
      <c r="F281" s="144">
        <v>1000</v>
      </c>
      <c r="G281" s="182"/>
      <c r="H281" s="183">
        <f t="shared" si="4"/>
        <v>-55390</v>
      </c>
      <c r="I281" s="144" t="s">
        <v>183</v>
      </c>
      <c r="J281" s="144" t="s">
        <v>3086</v>
      </c>
      <c r="K281" s="185"/>
    </row>
    <row r="282" spans="1:11" ht="15.6">
      <c r="A282" s="241">
        <v>45910</v>
      </c>
      <c r="B282" s="144" t="s">
        <v>3778</v>
      </c>
      <c r="C282" s="144" t="s">
        <v>173</v>
      </c>
      <c r="D282" s="144" t="s">
        <v>120</v>
      </c>
      <c r="E282" s="144"/>
      <c r="F282" s="144">
        <v>1000</v>
      </c>
      <c r="G282" s="182"/>
      <c r="H282" s="183">
        <f t="shared" si="4"/>
        <v>-56390</v>
      </c>
      <c r="I282" s="144" t="s">
        <v>183</v>
      </c>
      <c r="J282" s="144" t="s">
        <v>3086</v>
      </c>
      <c r="K282" s="185"/>
    </row>
    <row r="283" spans="1:11" ht="15.6">
      <c r="A283" s="241">
        <v>45910</v>
      </c>
      <c r="B283" s="144" t="s">
        <v>3029</v>
      </c>
      <c r="C283" s="144" t="s">
        <v>173</v>
      </c>
      <c r="D283" s="144" t="s">
        <v>120</v>
      </c>
      <c r="E283" s="144"/>
      <c r="F283" s="144">
        <v>1000</v>
      </c>
      <c r="G283" s="182"/>
      <c r="H283" s="183">
        <f t="shared" si="4"/>
        <v>-57390</v>
      </c>
      <c r="I283" s="144" t="s">
        <v>183</v>
      </c>
      <c r="J283" s="144" t="s">
        <v>3086</v>
      </c>
      <c r="K283" s="185"/>
    </row>
    <row r="284" spans="1:11" ht="15.6">
      <c r="A284" s="241">
        <v>45910</v>
      </c>
      <c r="B284" s="144" t="s">
        <v>3823</v>
      </c>
      <c r="C284" s="144" t="s">
        <v>173</v>
      </c>
      <c r="D284" s="144" t="s">
        <v>120</v>
      </c>
      <c r="E284" s="144"/>
      <c r="F284" s="144">
        <v>1000</v>
      </c>
      <c r="G284" s="182"/>
      <c r="H284" s="183">
        <f t="shared" si="4"/>
        <v>-58390</v>
      </c>
      <c r="I284" s="144" t="s">
        <v>183</v>
      </c>
      <c r="J284" s="144" t="s">
        <v>3086</v>
      </c>
      <c r="K284" s="185"/>
    </row>
    <row r="285" spans="1:11" ht="15.6">
      <c r="A285" s="241">
        <v>45910</v>
      </c>
      <c r="B285" s="144" t="s">
        <v>3977</v>
      </c>
      <c r="C285" s="144" t="s">
        <v>173</v>
      </c>
      <c r="D285" s="144" t="s">
        <v>120</v>
      </c>
      <c r="E285" s="144"/>
      <c r="F285" s="144">
        <v>1000</v>
      </c>
      <c r="G285" s="182"/>
      <c r="H285" s="183">
        <f t="shared" si="4"/>
        <v>-59390</v>
      </c>
      <c r="I285" s="144" t="s">
        <v>183</v>
      </c>
      <c r="J285" s="144" t="s">
        <v>3086</v>
      </c>
      <c r="K285" s="185"/>
    </row>
    <row r="286" spans="1:11" ht="15.6">
      <c r="A286" s="241">
        <v>45910</v>
      </c>
      <c r="B286" s="144" t="s">
        <v>3032</v>
      </c>
      <c r="C286" s="144" t="s">
        <v>173</v>
      </c>
      <c r="D286" s="144" t="s">
        <v>120</v>
      </c>
      <c r="E286" s="144"/>
      <c r="F286" s="144">
        <v>2000</v>
      </c>
      <c r="G286" s="182"/>
      <c r="H286" s="183">
        <f t="shared" si="4"/>
        <v>-61390</v>
      </c>
      <c r="I286" s="144" t="s">
        <v>183</v>
      </c>
      <c r="J286" s="144" t="s">
        <v>3086</v>
      </c>
      <c r="K286" s="185"/>
    </row>
    <row r="287" spans="1:11" ht="15.6">
      <c r="A287" s="241">
        <v>45911</v>
      </c>
      <c r="B287" s="144" t="s">
        <v>2992</v>
      </c>
      <c r="C287" s="144" t="s">
        <v>123</v>
      </c>
      <c r="D287" s="144" t="s">
        <v>120</v>
      </c>
      <c r="E287" s="144">
        <v>120000</v>
      </c>
      <c r="F287" s="144"/>
      <c r="G287" s="182"/>
      <c r="H287" s="183">
        <f t="shared" si="4"/>
        <v>58610</v>
      </c>
      <c r="I287" s="144" t="s">
        <v>183</v>
      </c>
      <c r="J287" s="144" t="s">
        <v>3100</v>
      </c>
      <c r="K287" s="185"/>
    </row>
    <row r="288" spans="1:11" ht="15.6">
      <c r="A288" s="241">
        <v>45911</v>
      </c>
      <c r="B288" s="144" t="s">
        <v>3033</v>
      </c>
      <c r="C288" s="144" t="s">
        <v>173</v>
      </c>
      <c r="D288" s="144" t="s">
        <v>120</v>
      </c>
      <c r="E288" s="144"/>
      <c r="F288" s="144">
        <v>1000</v>
      </c>
      <c r="G288" s="182"/>
      <c r="H288" s="183">
        <f t="shared" ref="H288:H351" si="5">H287+E288-F288</f>
        <v>57610</v>
      </c>
      <c r="I288" s="144" t="s">
        <v>183</v>
      </c>
      <c r="J288" s="144" t="s">
        <v>3086</v>
      </c>
      <c r="K288" s="185"/>
    </row>
    <row r="289" spans="1:11" ht="15.6">
      <c r="A289" s="241">
        <v>45911</v>
      </c>
      <c r="B289" s="144" t="s">
        <v>3034</v>
      </c>
      <c r="C289" s="144" t="s">
        <v>173</v>
      </c>
      <c r="D289" s="144" t="s">
        <v>120</v>
      </c>
      <c r="E289" s="144"/>
      <c r="F289" s="144">
        <v>1000</v>
      </c>
      <c r="G289" s="182"/>
      <c r="H289" s="183">
        <f t="shared" si="5"/>
        <v>56610</v>
      </c>
      <c r="I289" s="144" t="s">
        <v>183</v>
      </c>
      <c r="J289" s="144" t="s">
        <v>3086</v>
      </c>
      <c r="K289" s="185"/>
    </row>
    <row r="290" spans="1:11" ht="15.6">
      <c r="A290" s="241">
        <v>45911</v>
      </c>
      <c r="B290" s="144" t="s">
        <v>3840</v>
      </c>
      <c r="C290" s="144" t="s">
        <v>173</v>
      </c>
      <c r="D290" s="144" t="s">
        <v>120</v>
      </c>
      <c r="E290" s="144"/>
      <c r="F290" s="144">
        <v>1000</v>
      </c>
      <c r="G290" s="182"/>
      <c r="H290" s="183">
        <f t="shared" si="5"/>
        <v>55610</v>
      </c>
      <c r="I290" s="144" t="s">
        <v>183</v>
      </c>
      <c r="J290" s="144" t="s">
        <v>3086</v>
      </c>
      <c r="K290" s="185"/>
    </row>
    <row r="291" spans="1:11" ht="15.6">
      <c r="A291" s="241">
        <v>45911</v>
      </c>
      <c r="B291" s="144" t="s">
        <v>3840</v>
      </c>
      <c r="C291" s="144" t="s">
        <v>173</v>
      </c>
      <c r="D291" s="144" t="s">
        <v>120</v>
      </c>
      <c r="E291" s="144"/>
      <c r="F291" s="144">
        <v>1000</v>
      </c>
      <c r="G291" s="182"/>
      <c r="H291" s="183">
        <f t="shared" si="5"/>
        <v>54610</v>
      </c>
      <c r="I291" s="144" t="s">
        <v>183</v>
      </c>
      <c r="J291" s="144" t="s">
        <v>3086</v>
      </c>
      <c r="K291" s="185"/>
    </row>
    <row r="292" spans="1:11" ht="15.6">
      <c r="A292" s="241">
        <v>45911</v>
      </c>
      <c r="B292" s="144" t="s">
        <v>3840</v>
      </c>
      <c r="C292" s="144" t="s">
        <v>173</v>
      </c>
      <c r="D292" s="144" t="s">
        <v>120</v>
      </c>
      <c r="E292" s="144"/>
      <c r="F292" s="144">
        <v>1000</v>
      </c>
      <c r="G292" s="182"/>
      <c r="H292" s="183">
        <f t="shared" si="5"/>
        <v>53610</v>
      </c>
      <c r="I292" s="144" t="s">
        <v>183</v>
      </c>
      <c r="J292" s="144" t="s">
        <v>3086</v>
      </c>
      <c r="K292" s="185"/>
    </row>
    <row r="293" spans="1:11" ht="15.6">
      <c r="A293" s="241">
        <v>45911</v>
      </c>
      <c r="B293" s="144" t="s">
        <v>3840</v>
      </c>
      <c r="C293" s="144" t="s">
        <v>173</v>
      </c>
      <c r="D293" s="144" t="s">
        <v>120</v>
      </c>
      <c r="E293" s="144"/>
      <c r="F293" s="144">
        <v>1000</v>
      </c>
      <c r="G293" s="182"/>
      <c r="H293" s="183">
        <f t="shared" si="5"/>
        <v>52610</v>
      </c>
      <c r="I293" s="144" t="s">
        <v>183</v>
      </c>
      <c r="J293" s="144" t="s">
        <v>3086</v>
      </c>
      <c r="K293" s="185"/>
    </row>
    <row r="294" spans="1:11" ht="15.6">
      <c r="A294" s="241">
        <v>45911</v>
      </c>
      <c r="B294" s="144" t="s">
        <v>3986</v>
      </c>
      <c r="C294" s="144" t="s">
        <v>173</v>
      </c>
      <c r="D294" s="144" t="s">
        <v>120</v>
      </c>
      <c r="E294" s="144"/>
      <c r="F294" s="144">
        <v>1000</v>
      </c>
      <c r="G294" s="182"/>
      <c r="H294" s="183">
        <f t="shared" si="5"/>
        <v>51610</v>
      </c>
      <c r="I294" s="144" t="s">
        <v>183</v>
      </c>
      <c r="J294" s="144" t="s">
        <v>3086</v>
      </c>
      <c r="K294" s="185"/>
    </row>
    <row r="295" spans="1:11" ht="15.6">
      <c r="A295" s="241">
        <v>45912</v>
      </c>
      <c r="B295" s="144" t="s">
        <v>3840</v>
      </c>
      <c r="C295" s="144" t="s">
        <v>173</v>
      </c>
      <c r="D295" s="144" t="s">
        <v>120</v>
      </c>
      <c r="E295" s="144"/>
      <c r="F295" s="144">
        <v>1000</v>
      </c>
      <c r="G295" s="182"/>
      <c r="H295" s="183">
        <f t="shared" si="5"/>
        <v>50610</v>
      </c>
      <c r="I295" s="144" t="s">
        <v>183</v>
      </c>
      <c r="J295" s="144" t="s">
        <v>3086</v>
      </c>
      <c r="K295" s="185"/>
    </row>
    <row r="296" spans="1:11" ht="15.6">
      <c r="A296" s="241">
        <v>45912</v>
      </c>
      <c r="B296" s="144" t="s">
        <v>3840</v>
      </c>
      <c r="C296" s="144" t="s">
        <v>173</v>
      </c>
      <c r="D296" s="144" t="s">
        <v>120</v>
      </c>
      <c r="E296" s="144"/>
      <c r="F296" s="144">
        <v>1500</v>
      </c>
      <c r="G296" s="182"/>
      <c r="H296" s="183">
        <f t="shared" si="5"/>
        <v>49110</v>
      </c>
      <c r="I296" s="144" t="s">
        <v>183</v>
      </c>
      <c r="J296" s="144" t="s">
        <v>3086</v>
      </c>
      <c r="K296" s="185"/>
    </row>
    <row r="297" spans="1:11" ht="15.6">
      <c r="A297" s="241">
        <v>45912</v>
      </c>
      <c r="B297" s="144" t="s">
        <v>3840</v>
      </c>
      <c r="C297" s="144" t="s">
        <v>173</v>
      </c>
      <c r="D297" s="144" t="s">
        <v>120</v>
      </c>
      <c r="E297" s="144"/>
      <c r="F297" s="144">
        <v>1000</v>
      </c>
      <c r="G297" s="182"/>
      <c r="H297" s="183">
        <f t="shared" si="5"/>
        <v>48110</v>
      </c>
      <c r="I297" s="144" t="s">
        <v>183</v>
      </c>
      <c r="J297" s="144" t="s">
        <v>3086</v>
      </c>
      <c r="K297" s="185"/>
    </row>
    <row r="298" spans="1:11" ht="15.6">
      <c r="A298" s="241">
        <v>45912</v>
      </c>
      <c r="B298" s="144" t="s">
        <v>3840</v>
      </c>
      <c r="C298" s="144" t="s">
        <v>173</v>
      </c>
      <c r="D298" s="144" t="s">
        <v>120</v>
      </c>
      <c r="E298" s="144"/>
      <c r="F298" s="144">
        <v>1000</v>
      </c>
      <c r="G298" s="182"/>
      <c r="H298" s="183">
        <f t="shared" si="5"/>
        <v>47110</v>
      </c>
      <c r="I298" s="144" t="s">
        <v>183</v>
      </c>
      <c r="J298" s="144" t="s">
        <v>3086</v>
      </c>
      <c r="K298" s="185"/>
    </row>
    <row r="299" spans="1:11" ht="15.6">
      <c r="A299" s="241">
        <v>45912</v>
      </c>
      <c r="B299" s="144" t="s">
        <v>3840</v>
      </c>
      <c r="C299" s="144" t="s">
        <v>173</v>
      </c>
      <c r="D299" s="144" t="s">
        <v>120</v>
      </c>
      <c r="E299" s="144"/>
      <c r="F299" s="144">
        <v>1000</v>
      </c>
      <c r="G299" s="182"/>
      <c r="H299" s="183">
        <f t="shared" si="5"/>
        <v>46110</v>
      </c>
      <c r="I299" s="144" t="s">
        <v>183</v>
      </c>
      <c r="J299" s="144" t="s">
        <v>3086</v>
      </c>
      <c r="K299" s="185"/>
    </row>
    <row r="300" spans="1:11" ht="15.6">
      <c r="A300" s="241">
        <v>45912</v>
      </c>
      <c r="B300" s="144" t="s">
        <v>3045</v>
      </c>
      <c r="C300" s="144" t="s">
        <v>173</v>
      </c>
      <c r="D300" s="144" t="s">
        <v>120</v>
      </c>
      <c r="E300" s="144"/>
      <c r="F300" s="144">
        <v>1000</v>
      </c>
      <c r="G300" s="182"/>
      <c r="H300" s="183">
        <f t="shared" si="5"/>
        <v>45110</v>
      </c>
      <c r="I300" s="144" t="s">
        <v>183</v>
      </c>
      <c r="J300" s="144" t="s">
        <v>3086</v>
      </c>
      <c r="K300" s="185"/>
    </row>
    <row r="301" spans="1:11" ht="15.6">
      <c r="A301" s="241">
        <v>45913</v>
      </c>
      <c r="B301" s="144" t="s">
        <v>3987</v>
      </c>
      <c r="C301" s="144" t="s">
        <v>173</v>
      </c>
      <c r="D301" s="144" t="s">
        <v>120</v>
      </c>
      <c r="E301" s="144"/>
      <c r="F301" s="144">
        <v>1000</v>
      </c>
      <c r="G301" s="182"/>
      <c r="H301" s="183">
        <f t="shared" si="5"/>
        <v>44110</v>
      </c>
      <c r="I301" s="144" t="s">
        <v>183</v>
      </c>
      <c r="J301" s="144" t="s">
        <v>3086</v>
      </c>
      <c r="K301" s="185"/>
    </row>
    <row r="302" spans="1:11" ht="15.6">
      <c r="A302" s="241">
        <v>45913</v>
      </c>
      <c r="B302" s="144" t="s">
        <v>3988</v>
      </c>
      <c r="C302" s="144" t="s">
        <v>173</v>
      </c>
      <c r="D302" s="144" t="s">
        <v>120</v>
      </c>
      <c r="E302" s="144"/>
      <c r="F302" s="144">
        <v>1000</v>
      </c>
      <c r="G302" s="182"/>
      <c r="H302" s="183">
        <f t="shared" si="5"/>
        <v>43110</v>
      </c>
      <c r="I302" s="144" t="s">
        <v>183</v>
      </c>
      <c r="J302" s="144" t="s">
        <v>3086</v>
      </c>
      <c r="K302" s="185"/>
    </row>
    <row r="303" spans="1:11" ht="15.6">
      <c r="A303" s="241">
        <v>45913</v>
      </c>
      <c r="B303" s="144" t="s">
        <v>3844</v>
      </c>
      <c r="C303" s="144" t="s">
        <v>173</v>
      </c>
      <c r="D303" s="144" t="s">
        <v>120</v>
      </c>
      <c r="E303" s="144"/>
      <c r="F303" s="144">
        <v>1000</v>
      </c>
      <c r="G303" s="182"/>
      <c r="H303" s="183">
        <f t="shared" si="5"/>
        <v>42110</v>
      </c>
      <c r="I303" s="144" t="s">
        <v>183</v>
      </c>
      <c r="J303" s="144" t="s">
        <v>3086</v>
      </c>
      <c r="K303" s="185"/>
    </row>
    <row r="304" spans="1:11" ht="15.6">
      <c r="A304" s="241">
        <v>45913</v>
      </c>
      <c r="B304" s="144" t="s">
        <v>3046</v>
      </c>
      <c r="C304" s="144" t="s">
        <v>173</v>
      </c>
      <c r="D304" s="144" t="s">
        <v>120</v>
      </c>
      <c r="E304" s="144"/>
      <c r="F304" s="144">
        <v>1000</v>
      </c>
      <c r="G304" s="182"/>
      <c r="H304" s="183">
        <f t="shared" si="5"/>
        <v>41110</v>
      </c>
      <c r="I304" s="144" t="s">
        <v>183</v>
      </c>
      <c r="J304" s="144" t="s">
        <v>3086</v>
      </c>
      <c r="K304" s="185"/>
    </row>
    <row r="305" spans="1:11" ht="15.6">
      <c r="A305" s="241">
        <v>45914</v>
      </c>
      <c r="B305" s="144" t="s">
        <v>3989</v>
      </c>
      <c r="C305" s="144" t="s">
        <v>173</v>
      </c>
      <c r="D305" s="144" t="s">
        <v>120</v>
      </c>
      <c r="E305" s="144"/>
      <c r="F305" s="144">
        <v>1000</v>
      </c>
      <c r="G305" s="182"/>
      <c r="H305" s="183">
        <f t="shared" si="5"/>
        <v>40110</v>
      </c>
      <c r="I305" s="144" t="s">
        <v>183</v>
      </c>
      <c r="J305" s="144" t="s">
        <v>3086</v>
      </c>
      <c r="K305" s="185"/>
    </row>
    <row r="306" spans="1:11" ht="15.6">
      <c r="A306" s="241">
        <v>45914</v>
      </c>
      <c r="B306" s="144" t="s">
        <v>3846</v>
      </c>
      <c r="C306" s="144" t="s">
        <v>173</v>
      </c>
      <c r="D306" s="144" t="s">
        <v>120</v>
      </c>
      <c r="E306" s="144"/>
      <c r="F306" s="144">
        <v>1000</v>
      </c>
      <c r="G306" s="182"/>
      <c r="H306" s="183">
        <f t="shared" si="5"/>
        <v>39110</v>
      </c>
      <c r="I306" s="144" t="s">
        <v>183</v>
      </c>
      <c r="J306" s="144" t="s">
        <v>3086</v>
      </c>
      <c r="K306" s="185"/>
    </row>
    <row r="307" spans="1:11" ht="15.6">
      <c r="A307" s="241">
        <v>45914</v>
      </c>
      <c r="B307" s="144" t="s">
        <v>3989</v>
      </c>
      <c r="C307" s="144" t="s">
        <v>173</v>
      </c>
      <c r="D307" s="144" t="s">
        <v>120</v>
      </c>
      <c r="E307" s="144"/>
      <c r="F307" s="144">
        <v>1000</v>
      </c>
      <c r="G307" s="182"/>
      <c r="H307" s="183">
        <f t="shared" si="5"/>
        <v>38110</v>
      </c>
      <c r="I307" s="144" t="s">
        <v>183</v>
      </c>
      <c r="J307" s="144" t="s">
        <v>3086</v>
      </c>
      <c r="K307" s="185"/>
    </row>
    <row r="308" spans="1:11" ht="15.6">
      <c r="A308" s="241">
        <v>45914</v>
      </c>
      <c r="B308" s="144" t="s">
        <v>3990</v>
      </c>
      <c r="C308" s="144" t="s">
        <v>173</v>
      </c>
      <c r="D308" s="144" t="s">
        <v>120</v>
      </c>
      <c r="E308" s="144"/>
      <c r="F308" s="144">
        <v>1000</v>
      </c>
      <c r="G308" s="182"/>
      <c r="H308" s="183">
        <f t="shared" si="5"/>
        <v>37110</v>
      </c>
      <c r="I308" s="144" t="s">
        <v>183</v>
      </c>
      <c r="J308" s="144" t="s">
        <v>3086</v>
      </c>
      <c r="K308" s="185"/>
    </row>
    <row r="309" spans="1:11" ht="15.6">
      <c r="A309" s="241">
        <v>45915</v>
      </c>
      <c r="B309" s="144" t="s">
        <v>3991</v>
      </c>
      <c r="C309" s="144" t="s">
        <v>173</v>
      </c>
      <c r="D309" s="144" t="s">
        <v>120</v>
      </c>
      <c r="E309" s="144"/>
      <c r="F309" s="144">
        <v>1000</v>
      </c>
      <c r="G309" s="182"/>
      <c r="H309" s="183">
        <f t="shared" si="5"/>
        <v>36110</v>
      </c>
      <c r="I309" s="144" t="s">
        <v>183</v>
      </c>
      <c r="J309" s="144" t="s">
        <v>3086</v>
      </c>
      <c r="K309" s="185"/>
    </row>
    <row r="310" spans="1:11" ht="15.6">
      <c r="A310" s="241">
        <v>45915</v>
      </c>
      <c r="B310" s="144" t="s">
        <v>3842</v>
      </c>
      <c r="C310" s="144" t="s">
        <v>173</v>
      </c>
      <c r="D310" s="144" t="s">
        <v>120</v>
      </c>
      <c r="E310" s="144"/>
      <c r="F310" s="144">
        <v>1000</v>
      </c>
      <c r="G310" s="182"/>
      <c r="H310" s="183">
        <f t="shared" si="5"/>
        <v>35110</v>
      </c>
      <c r="I310" s="144" t="s">
        <v>183</v>
      </c>
      <c r="J310" s="144" t="s">
        <v>3086</v>
      </c>
      <c r="K310" s="185"/>
    </row>
    <row r="311" spans="1:11" ht="15.6">
      <c r="A311" s="241">
        <v>45915</v>
      </c>
      <c r="B311" s="144" t="s">
        <v>3840</v>
      </c>
      <c r="C311" s="144" t="s">
        <v>173</v>
      </c>
      <c r="D311" s="144" t="s">
        <v>120</v>
      </c>
      <c r="E311" s="144"/>
      <c r="F311" s="144">
        <v>1000</v>
      </c>
      <c r="G311" s="182"/>
      <c r="H311" s="183">
        <f t="shared" si="5"/>
        <v>34110</v>
      </c>
      <c r="I311" s="144" t="s">
        <v>183</v>
      </c>
      <c r="J311" s="144" t="s">
        <v>3086</v>
      </c>
      <c r="K311" s="185"/>
    </row>
    <row r="312" spans="1:11" ht="15.6">
      <c r="A312" s="241">
        <v>45915</v>
      </c>
      <c r="B312" s="144" t="s">
        <v>3855</v>
      </c>
      <c r="C312" s="144" t="s">
        <v>173</v>
      </c>
      <c r="D312" s="144" t="s">
        <v>120</v>
      </c>
      <c r="E312" s="144"/>
      <c r="F312" s="144">
        <v>1000</v>
      </c>
      <c r="G312" s="182"/>
      <c r="H312" s="183">
        <f t="shared" si="5"/>
        <v>33110</v>
      </c>
      <c r="I312" s="144" t="s">
        <v>183</v>
      </c>
      <c r="J312" s="144" t="s">
        <v>3086</v>
      </c>
      <c r="K312" s="185"/>
    </row>
    <row r="313" spans="1:11" ht="15.6">
      <c r="A313" s="241">
        <v>45915</v>
      </c>
      <c r="B313" s="144" t="s">
        <v>3840</v>
      </c>
      <c r="C313" s="144" t="s">
        <v>173</v>
      </c>
      <c r="D313" s="144" t="s">
        <v>120</v>
      </c>
      <c r="E313" s="144"/>
      <c r="F313" s="144">
        <v>1000</v>
      </c>
      <c r="G313" s="182"/>
      <c r="H313" s="183">
        <f t="shared" si="5"/>
        <v>32110</v>
      </c>
      <c r="I313" s="144" t="s">
        <v>183</v>
      </c>
      <c r="J313" s="144" t="s">
        <v>3086</v>
      </c>
      <c r="K313" s="185"/>
    </row>
    <row r="314" spans="1:11" ht="15.6">
      <c r="A314" s="241">
        <v>45915</v>
      </c>
      <c r="B314" s="144" t="s">
        <v>3848</v>
      </c>
      <c r="C314" s="144" t="s">
        <v>173</v>
      </c>
      <c r="D314" s="144" t="s">
        <v>120</v>
      </c>
      <c r="E314" s="144"/>
      <c r="F314" s="144">
        <v>1000</v>
      </c>
      <c r="G314" s="182"/>
      <c r="H314" s="183">
        <f t="shared" si="5"/>
        <v>31110</v>
      </c>
      <c r="I314" s="144" t="s">
        <v>183</v>
      </c>
      <c r="J314" s="144" t="s">
        <v>3086</v>
      </c>
      <c r="K314" s="185"/>
    </row>
    <row r="315" spans="1:11" ht="15.6">
      <c r="A315" s="241">
        <v>45915</v>
      </c>
      <c r="B315" s="144" t="s">
        <v>2992</v>
      </c>
      <c r="C315" s="144" t="s">
        <v>123</v>
      </c>
      <c r="D315" s="144" t="s">
        <v>120</v>
      </c>
      <c r="E315" s="144">
        <v>90000</v>
      </c>
      <c r="F315" s="144"/>
      <c r="G315" s="182"/>
      <c r="H315" s="183">
        <f t="shared" si="5"/>
        <v>121110</v>
      </c>
      <c r="I315" s="144" t="s">
        <v>183</v>
      </c>
      <c r="J315" s="144" t="s">
        <v>3101</v>
      </c>
      <c r="K315" s="185"/>
    </row>
    <row r="316" spans="1:11" ht="15.6">
      <c r="A316" s="241">
        <v>45916</v>
      </c>
      <c r="B316" s="144" t="s">
        <v>3840</v>
      </c>
      <c r="C316" s="144" t="s">
        <v>173</v>
      </c>
      <c r="D316" s="144" t="s">
        <v>120</v>
      </c>
      <c r="E316" s="144"/>
      <c r="F316" s="144">
        <v>1000</v>
      </c>
      <c r="G316" s="182"/>
      <c r="H316" s="183">
        <f t="shared" si="5"/>
        <v>120110</v>
      </c>
      <c r="I316" s="144" t="s">
        <v>183</v>
      </c>
      <c r="J316" s="144" t="s">
        <v>3086</v>
      </c>
      <c r="K316" s="185"/>
    </row>
    <row r="317" spans="1:11" ht="15.6">
      <c r="A317" s="241">
        <v>45916</v>
      </c>
      <c r="B317" s="144" t="s">
        <v>3840</v>
      </c>
      <c r="C317" s="144" t="s">
        <v>173</v>
      </c>
      <c r="D317" s="144" t="s">
        <v>120</v>
      </c>
      <c r="E317" s="144"/>
      <c r="F317" s="144">
        <v>1000</v>
      </c>
      <c r="G317" s="182"/>
      <c r="H317" s="183">
        <f t="shared" si="5"/>
        <v>119110</v>
      </c>
      <c r="I317" s="144" t="s">
        <v>183</v>
      </c>
      <c r="J317" s="144" t="s">
        <v>3086</v>
      </c>
      <c r="K317" s="185"/>
    </row>
    <row r="318" spans="1:11" ht="15.6">
      <c r="A318" s="241">
        <v>45916</v>
      </c>
      <c r="B318" s="144" t="s">
        <v>3840</v>
      </c>
      <c r="C318" s="144" t="s">
        <v>173</v>
      </c>
      <c r="D318" s="144" t="s">
        <v>120</v>
      </c>
      <c r="E318" s="144"/>
      <c r="F318" s="144">
        <v>1000</v>
      </c>
      <c r="G318" s="182"/>
      <c r="H318" s="183">
        <f t="shared" si="5"/>
        <v>118110</v>
      </c>
      <c r="I318" s="144" t="s">
        <v>183</v>
      </c>
      <c r="J318" s="144" t="s">
        <v>3086</v>
      </c>
      <c r="K318" s="185"/>
    </row>
    <row r="319" spans="1:11" ht="15.6">
      <c r="A319" s="241">
        <v>45916</v>
      </c>
      <c r="B319" s="144" t="s">
        <v>3978</v>
      </c>
      <c r="C319" s="144" t="s">
        <v>173</v>
      </c>
      <c r="D319" s="144" t="s">
        <v>120</v>
      </c>
      <c r="E319" s="144"/>
      <c r="F319" s="144">
        <v>1000</v>
      </c>
      <c r="G319" s="182"/>
      <c r="H319" s="183">
        <f t="shared" si="5"/>
        <v>117110</v>
      </c>
      <c r="I319" s="144" t="s">
        <v>183</v>
      </c>
      <c r="J319" s="144" t="s">
        <v>3086</v>
      </c>
      <c r="K319" s="185"/>
    </row>
    <row r="320" spans="1:11" ht="15.6">
      <c r="A320" s="241">
        <v>45916</v>
      </c>
      <c r="B320" s="144" t="s">
        <v>3056</v>
      </c>
      <c r="C320" s="144" t="s">
        <v>173</v>
      </c>
      <c r="D320" s="144" t="s">
        <v>120</v>
      </c>
      <c r="E320" s="144"/>
      <c r="F320" s="144">
        <v>1000</v>
      </c>
      <c r="G320" s="182"/>
      <c r="H320" s="183">
        <f t="shared" si="5"/>
        <v>116110</v>
      </c>
      <c r="I320" s="144" t="s">
        <v>183</v>
      </c>
      <c r="J320" s="144" t="s">
        <v>3086</v>
      </c>
      <c r="K320" s="185"/>
    </row>
    <row r="321" spans="1:11" ht="15.6">
      <c r="A321" s="241">
        <v>45916</v>
      </c>
      <c r="B321" s="144" t="s">
        <v>3842</v>
      </c>
      <c r="C321" s="144" t="s">
        <v>173</v>
      </c>
      <c r="D321" s="144" t="s">
        <v>120</v>
      </c>
      <c r="E321" s="144"/>
      <c r="F321" s="144">
        <v>1000</v>
      </c>
      <c r="G321" s="182"/>
      <c r="H321" s="183">
        <f t="shared" si="5"/>
        <v>115110</v>
      </c>
      <c r="I321" s="144" t="s">
        <v>183</v>
      </c>
      <c r="J321" s="144" t="s">
        <v>3086</v>
      </c>
      <c r="K321" s="185"/>
    </row>
    <row r="322" spans="1:11" ht="15.6">
      <c r="A322" s="241">
        <v>45916</v>
      </c>
      <c r="B322" s="144" t="s">
        <v>3842</v>
      </c>
      <c r="C322" s="144" t="s">
        <v>173</v>
      </c>
      <c r="D322" s="144" t="s">
        <v>120</v>
      </c>
      <c r="E322" s="144"/>
      <c r="F322" s="144">
        <v>1000</v>
      </c>
      <c r="G322" s="182"/>
      <c r="H322" s="183">
        <f t="shared" si="5"/>
        <v>114110</v>
      </c>
      <c r="I322" s="144" t="s">
        <v>183</v>
      </c>
      <c r="J322" s="144" t="s">
        <v>3086</v>
      </c>
      <c r="K322" s="185"/>
    </row>
    <row r="323" spans="1:11" ht="15.6">
      <c r="A323" s="241">
        <v>45916</v>
      </c>
      <c r="B323" s="144" t="s">
        <v>3782</v>
      </c>
      <c r="C323" s="144" t="s">
        <v>173</v>
      </c>
      <c r="D323" s="144" t="s">
        <v>120</v>
      </c>
      <c r="E323" s="144"/>
      <c r="F323" s="144">
        <v>1000</v>
      </c>
      <c r="G323" s="182"/>
      <c r="H323" s="183">
        <f t="shared" si="5"/>
        <v>113110</v>
      </c>
      <c r="I323" s="144" t="s">
        <v>183</v>
      </c>
      <c r="J323" s="144" t="s">
        <v>3086</v>
      </c>
      <c r="K323" s="185"/>
    </row>
    <row r="324" spans="1:11" ht="15.6">
      <c r="A324" s="241">
        <v>45917</v>
      </c>
      <c r="B324" s="144" t="s">
        <v>3840</v>
      </c>
      <c r="C324" s="144" t="s">
        <v>173</v>
      </c>
      <c r="D324" s="144" t="s">
        <v>120</v>
      </c>
      <c r="E324" s="144"/>
      <c r="F324" s="144">
        <v>1000</v>
      </c>
      <c r="G324" s="182"/>
      <c r="H324" s="183">
        <f t="shared" si="5"/>
        <v>112110</v>
      </c>
      <c r="I324" s="144" t="s">
        <v>183</v>
      </c>
      <c r="J324" s="144" t="s">
        <v>3086</v>
      </c>
      <c r="K324" s="185"/>
    </row>
    <row r="325" spans="1:11" ht="15.6">
      <c r="A325" s="241">
        <v>45917</v>
      </c>
      <c r="B325" s="144" t="s">
        <v>3842</v>
      </c>
      <c r="C325" s="144" t="s">
        <v>173</v>
      </c>
      <c r="D325" s="144" t="s">
        <v>120</v>
      </c>
      <c r="E325" s="144"/>
      <c r="F325" s="144">
        <v>1000</v>
      </c>
      <c r="G325" s="182"/>
      <c r="H325" s="183">
        <f t="shared" si="5"/>
        <v>111110</v>
      </c>
      <c r="I325" s="144" t="s">
        <v>183</v>
      </c>
      <c r="J325" s="144" t="s">
        <v>3086</v>
      </c>
      <c r="K325" s="185"/>
    </row>
    <row r="326" spans="1:11" ht="15.6">
      <c r="A326" s="241">
        <v>45917</v>
      </c>
      <c r="B326" s="144" t="s">
        <v>3852</v>
      </c>
      <c r="C326" s="144" t="s">
        <v>173</v>
      </c>
      <c r="D326" s="144" t="s">
        <v>120</v>
      </c>
      <c r="E326" s="144"/>
      <c r="F326" s="144">
        <v>1000</v>
      </c>
      <c r="G326" s="182"/>
      <c r="H326" s="183">
        <f t="shared" si="5"/>
        <v>110110</v>
      </c>
      <c r="I326" s="144" t="s">
        <v>183</v>
      </c>
      <c r="J326" s="144" t="s">
        <v>3086</v>
      </c>
      <c r="K326" s="185"/>
    </row>
    <row r="327" spans="1:11" ht="15.6">
      <c r="A327" s="241">
        <v>45917</v>
      </c>
      <c r="B327" s="144" t="s">
        <v>3040</v>
      </c>
      <c r="C327" s="144" t="s">
        <v>173</v>
      </c>
      <c r="D327" s="144" t="s">
        <v>120</v>
      </c>
      <c r="E327" s="144"/>
      <c r="F327" s="144">
        <v>1000</v>
      </c>
      <c r="G327" s="182"/>
      <c r="H327" s="183">
        <f t="shared" si="5"/>
        <v>109110</v>
      </c>
      <c r="I327" s="144" t="s">
        <v>183</v>
      </c>
      <c r="J327" s="144" t="s">
        <v>3086</v>
      </c>
      <c r="K327" s="185"/>
    </row>
    <row r="328" spans="1:11" ht="15.6">
      <c r="A328" s="241">
        <v>45917</v>
      </c>
      <c r="B328" s="144" t="s">
        <v>3061</v>
      </c>
      <c r="C328" s="144" t="s">
        <v>173</v>
      </c>
      <c r="D328" s="144" t="s">
        <v>120</v>
      </c>
      <c r="E328" s="144"/>
      <c r="F328" s="144">
        <v>1000</v>
      </c>
      <c r="G328" s="182"/>
      <c r="H328" s="183">
        <f t="shared" si="5"/>
        <v>108110</v>
      </c>
      <c r="I328" s="144" t="s">
        <v>183</v>
      </c>
      <c r="J328" s="144" t="s">
        <v>3086</v>
      </c>
      <c r="K328" s="185"/>
    </row>
    <row r="329" spans="1:11" ht="15.6">
      <c r="A329" s="241">
        <v>45917</v>
      </c>
      <c r="B329" s="144" t="s">
        <v>3062</v>
      </c>
      <c r="C329" s="144" t="s">
        <v>368</v>
      </c>
      <c r="D329" s="144" t="s">
        <v>120</v>
      </c>
      <c r="E329" s="144"/>
      <c r="F329" s="144">
        <v>1000</v>
      </c>
      <c r="G329" s="182"/>
      <c r="H329" s="183">
        <f t="shared" si="5"/>
        <v>107110</v>
      </c>
      <c r="I329" s="144" t="s">
        <v>183</v>
      </c>
      <c r="J329" s="144" t="s">
        <v>3092</v>
      </c>
      <c r="K329" s="185"/>
    </row>
    <row r="330" spans="1:11" ht="15.6">
      <c r="A330" s="241">
        <v>45917</v>
      </c>
      <c r="B330" s="174" t="s">
        <v>3063</v>
      </c>
      <c r="C330" s="174" t="s">
        <v>151</v>
      </c>
      <c r="D330" s="174" t="s">
        <v>120</v>
      </c>
      <c r="E330" s="144">
        <v>10000</v>
      </c>
      <c r="F330" s="144"/>
      <c r="G330" s="182"/>
      <c r="H330" s="183">
        <f t="shared" si="5"/>
        <v>117110</v>
      </c>
      <c r="I330" s="144" t="s">
        <v>183</v>
      </c>
      <c r="J330" s="144" t="s">
        <v>3102</v>
      </c>
      <c r="K330" s="185"/>
    </row>
    <row r="331" spans="1:11" ht="15.6">
      <c r="A331" s="241">
        <v>45917</v>
      </c>
      <c r="B331" s="174" t="s">
        <v>3063</v>
      </c>
      <c r="C331" s="174" t="s">
        <v>151</v>
      </c>
      <c r="D331" s="174" t="s">
        <v>2468</v>
      </c>
      <c r="E331" s="144"/>
      <c r="F331" s="144">
        <v>10000</v>
      </c>
      <c r="G331" s="182"/>
      <c r="H331" s="183">
        <f t="shared" si="5"/>
        <v>107110</v>
      </c>
      <c r="I331" s="144" t="s">
        <v>183</v>
      </c>
      <c r="J331" s="144" t="s">
        <v>3102</v>
      </c>
      <c r="K331" s="185"/>
    </row>
    <row r="332" spans="1:11" ht="15.6">
      <c r="A332" s="241">
        <v>45918</v>
      </c>
      <c r="B332" s="144" t="s">
        <v>3992</v>
      </c>
      <c r="C332" s="144" t="s">
        <v>173</v>
      </c>
      <c r="D332" s="144" t="s">
        <v>120</v>
      </c>
      <c r="E332" s="144"/>
      <c r="F332" s="144">
        <v>1500</v>
      </c>
      <c r="G332" s="182"/>
      <c r="H332" s="183">
        <f t="shared" si="5"/>
        <v>105610</v>
      </c>
      <c r="I332" s="144" t="s">
        <v>183</v>
      </c>
      <c r="J332" s="144" t="s">
        <v>3086</v>
      </c>
      <c r="K332" s="185"/>
    </row>
    <row r="333" spans="1:11" ht="15.6">
      <c r="A333" s="241">
        <v>45918</v>
      </c>
      <c r="B333" s="144" t="s">
        <v>3065</v>
      </c>
      <c r="C333" s="144" t="s">
        <v>173</v>
      </c>
      <c r="D333" s="144" t="s">
        <v>120</v>
      </c>
      <c r="E333" s="144"/>
      <c r="F333" s="144">
        <v>1000</v>
      </c>
      <c r="G333" s="182"/>
      <c r="H333" s="183">
        <f t="shared" si="5"/>
        <v>104610</v>
      </c>
      <c r="I333" s="144" t="s">
        <v>183</v>
      </c>
      <c r="J333" s="144" t="s">
        <v>3086</v>
      </c>
      <c r="K333" s="185"/>
    </row>
    <row r="334" spans="1:11" ht="15.6">
      <c r="A334" s="241">
        <v>45918</v>
      </c>
      <c r="B334" s="144" t="s">
        <v>3066</v>
      </c>
      <c r="C334" s="144" t="s">
        <v>173</v>
      </c>
      <c r="D334" s="144" t="s">
        <v>120</v>
      </c>
      <c r="E334" s="144"/>
      <c r="F334" s="144">
        <v>1000</v>
      </c>
      <c r="G334" s="182"/>
      <c r="H334" s="183">
        <f t="shared" si="5"/>
        <v>103610</v>
      </c>
      <c r="I334" s="144" t="s">
        <v>183</v>
      </c>
      <c r="J334" s="144" t="s">
        <v>3086</v>
      </c>
      <c r="K334" s="185"/>
    </row>
    <row r="335" spans="1:11" ht="15.6">
      <c r="A335" s="241">
        <v>45918</v>
      </c>
      <c r="B335" s="144" t="s">
        <v>3067</v>
      </c>
      <c r="C335" s="144" t="s">
        <v>173</v>
      </c>
      <c r="D335" s="144" t="s">
        <v>120</v>
      </c>
      <c r="E335" s="144"/>
      <c r="F335" s="144">
        <v>1000</v>
      </c>
      <c r="G335" s="182"/>
      <c r="H335" s="183">
        <f t="shared" si="5"/>
        <v>102610</v>
      </c>
      <c r="I335" s="144" t="s">
        <v>183</v>
      </c>
      <c r="J335" s="144" t="s">
        <v>3086</v>
      </c>
      <c r="K335" s="185"/>
    </row>
    <row r="336" spans="1:11" ht="15.6">
      <c r="A336" s="241">
        <v>45918</v>
      </c>
      <c r="B336" s="144" t="s">
        <v>3068</v>
      </c>
      <c r="C336" s="144" t="s">
        <v>173</v>
      </c>
      <c r="D336" s="144" t="s">
        <v>120</v>
      </c>
      <c r="E336" s="144"/>
      <c r="F336" s="144">
        <v>1000</v>
      </c>
      <c r="G336" s="182"/>
      <c r="H336" s="183">
        <f t="shared" si="5"/>
        <v>101610</v>
      </c>
      <c r="I336" s="144" t="s">
        <v>183</v>
      </c>
      <c r="J336" s="144" t="s">
        <v>3086</v>
      </c>
      <c r="K336" s="185"/>
    </row>
    <row r="337" spans="1:11" ht="15.6">
      <c r="A337" s="241">
        <v>45918</v>
      </c>
      <c r="B337" s="144" t="s">
        <v>2992</v>
      </c>
      <c r="C337" s="144" t="s">
        <v>123</v>
      </c>
      <c r="D337" s="144" t="s">
        <v>120</v>
      </c>
      <c r="E337" s="144">
        <v>120000</v>
      </c>
      <c r="F337" s="144"/>
      <c r="G337" s="182"/>
      <c r="H337" s="183">
        <f t="shared" si="5"/>
        <v>221610</v>
      </c>
      <c r="I337" s="144" t="s">
        <v>183</v>
      </c>
      <c r="J337" s="144" t="s">
        <v>3103</v>
      </c>
      <c r="K337" s="185"/>
    </row>
    <row r="338" spans="1:11" ht="15.6">
      <c r="A338" s="241">
        <v>45919</v>
      </c>
      <c r="B338" s="144" t="s">
        <v>3069</v>
      </c>
      <c r="C338" s="144" t="s">
        <v>173</v>
      </c>
      <c r="D338" s="144" t="s">
        <v>120</v>
      </c>
      <c r="E338" s="144"/>
      <c r="F338" s="144">
        <v>1000</v>
      </c>
      <c r="G338" s="182"/>
      <c r="H338" s="183">
        <f t="shared" si="5"/>
        <v>220610</v>
      </c>
      <c r="I338" s="144" t="s">
        <v>183</v>
      </c>
      <c r="J338" s="144" t="s">
        <v>3086</v>
      </c>
      <c r="K338" s="185"/>
    </row>
    <row r="339" spans="1:11" ht="15.6">
      <c r="A339" s="241">
        <v>45919</v>
      </c>
      <c r="B339" s="144" t="s">
        <v>3070</v>
      </c>
      <c r="C339" s="144" t="s">
        <v>173</v>
      </c>
      <c r="D339" s="144" t="s">
        <v>120</v>
      </c>
      <c r="E339" s="144"/>
      <c r="F339" s="144">
        <v>1000</v>
      </c>
      <c r="G339" s="182"/>
      <c r="H339" s="183">
        <f t="shared" si="5"/>
        <v>219610</v>
      </c>
      <c r="I339" s="144" t="s">
        <v>183</v>
      </c>
      <c r="J339" s="144" t="s">
        <v>3086</v>
      </c>
      <c r="K339" s="185"/>
    </row>
    <row r="340" spans="1:11" ht="15.6">
      <c r="A340" s="241">
        <v>45919</v>
      </c>
      <c r="B340" s="144" t="s">
        <v>3071</v>
      </c>
      <c r="C340" s="144" t="s">
        <v>173</v>
      </c>
      <c r="D340" s="144" t="s">
        <v>120</v>
      </c>
      <c r="E340" s="144"/>
      <c r="F340" s="144">
        <v>1000</v>
      </c>
      <c r="G340" s="182"/>
      <c r="H340" s="183">
        <f t="shared" si="5"/>
        <v>218610</v>
      </c>
      <c r="I340" s="144" t="s">
        <v>183</v>
      </c>
      <c r="J340" s="144" t="s">
        <v>3086</v>
      </c>
      <c r="K340" s="185"/>
    </row>
    <row r="341" spans="1:11" ht="15.6">
      <c r="A341" s="241">
        <v>45919</v>
      </c>
      <c r="B341" s="144" t="s">
        <v>3072</v>
      </c>
      <c r="C341" s="144" t="s">
        <v>173</v>
      </c>
      <c r="D341" s="144" t="s">
        <v>120</v>
      </c>
      <c r="E341" s="144"/>
      <c r="F341" s="144">
        <v>1000</v>
      </c>
      <c r="G341" s="182"/>
      <c r="H341" s="183">
        <f t="shared" si="5"/>
        <v>217610</v>
      </c>
      <c r="I341" s="144" t="s">
        <v>183</v>
      </c>
      <c r="J341" s="144" t="s">
        <v>3086</v>
      </c>
      <c r="K341" s="185"/>
    </row>
    <row r="342" spans="1:11" ht="15.6">
      <c r="A342" s="241">
        <v>45919</v>
      </c>
      <c r="B342" s="144" t="s">
        <v>3073</v>
      </c>
      <c r="C342" s="144" t="s">
        <v>173</v>
      </c>
      <c r="D342" s="144" t="s">
        <v>120</v>
      </c>
      <c r="E342" s="144"/>
      <c r="F342" s="144">
        <v>1000</v>
      </c>
      <c r="G342" s="182"/>
      <c r="H342" s="183">
        <f t="shared" si="5"/>
        <v>216610</v>
      </c>
      <c r="I342" s="144" t="s">
        <v>183</v>
      </c>
      <c r="J342" s="144" t="s">
        <v>3086</v>
      </c>
      <c r="K342" s="185"/>
    </row>
    <row r="343" spans="1:11" ht="16.2" customHeight="1">
      <c r="A343" s="241">
        <v>45919</v>
      </c>
      <c r="B343" s="144" t="s">
        <v>3074</v>
      </c>
      <c r="C343" s="144" t="s">
        <v>368</v>
      </c>
      <c r="D343" s="144" t="s">
        <v>120</v>
      </c>
      <c r="E343" s="144"/>
      <c r="F343" s="144">
        <v>1000</v>
      </c>
      <c r="G343" s="182"/>
      <c r="H343" s="183">
        <f t="shared" si="5"/>
        <v>215610</v>
      </c>
      <c r="I343" s="144" t="s">
        <v>183</v>
      </c>
      <c r="J343" s="144" t="s">
        <v>3092</v>
      </c>
      <c r="K343" s="185"/>
    </row>
    <row r="344" spans="1:11" ht="16.2" customHeight="1">
      <c r="A344" s="241">
        <v>45922</v>
      </c>
      <c r="B344" s="144" t="s">
        <v>3075</v>
      </c>
      <c r="C344" s="144" t="s">
        <v>173</v>
      </c>
      <c r="D344" s="144" t="s">
        <v>120</v>
      </c>
      <c r="E344" s="144"/>
      <c r="F344" s="144">
        <v>1000</v>
      </c>
      <c r="G344" s="182"/>
      <c r="H344" s="183">
        <f t="shared" si="5"/>
        <v>214610</v>
      </c>
      <c r="I344" s="144" t="s">
        <v>183</v>
      </c>
      <c r="J344" s="144" t="s">
        <v>3086</v>
      </c>
      <c r="K344" s="185"/>
    </row>
    <row r="345" spans="1:11" ht="16.2" customHeight="1">
      <c r="A345" s="241">
        <v>45922</v>
      </c>
      <c r="B345" s="144" t="s">
        <v>3076</v>
      </c>
      <c r="C345" s="144" t="s">
        <v>173</v>
      </c>
      <c r="D345" s="144" t="s">
        <v>120</v>
      </c>
      <c r="E345" s="144"/>
      <c r="F345" s="144">
        <v>1000</v>
      </c>
      <c r="G345" s="182"/>
      <c r="H345" s="183">
        <f t="shared" si="5"/>
        <v>213610</v>
      </c>
      <c r="I345" s="144" t="s">
        <v>183</v>
      </c>
      <c r="J345" s="144" t="s">
        <v>3086</v>
      </c>
      <c r="K345" s="185"/>
    </row>
    <row r="346" spans="1:11" ht="16.2" customHeight="1">
      <c r="A346" s="241">
        <v>45923</v>
      </c>
      <c r="B346" s="144" t="s">
        <v>2992</v>
      </c>
      <c r="C346" s="144" t="s">
        <v>123</v>
      </c>
      <c r="D346" s="144" t="s">
        <v>120</v>
      </c>
      <c r="E346" s="144">
        <v>50000</v>
      </c>
      <c r="F346" s="144"/>
      <c r="G346" s="182"/>
      <c r="H346" s="183">
        <f t="shared" si="5"/>
        <v>263610</v>
      </c>
      <c r="I346" s="144" t="s">
        <v>183</v>
      </c>
      <c r="J346" s="144" t="s">
        <v>3104</v>
      </c>
      <c r="K346" s="185"/>
    </row>
    <row r="347" spans="1:11" ht="16.2" customHeight="1">
      <c r="A347" s="241">
        <v>45923</v>
      </c>
      <c r="B347" s="144" t="s">
        <v>3033</v>
      </c>
      <c r="C347" s="144" t="s">
        <v>173</v>
      </c>
      <c r="D347" s="144" t="s">
        <v>120</v>
      </c>
      <c r="E347" s="144"/>
      <c r="F347" s="144">
        <v>1000</v>
      </c>
      <c r="G347" s="182"/>
      <c r="H347" s="183">
        <f t="shared" si="5"/>
        <v>262610</v>
      </c>
      <c r="I347" s="144" t="s">
        <v>183</v>
      </c>
      <c r="J347" s="144" t="s">
        <v>3086</v>
      </c>
      <c r="K347" s="185"/>
    </row>
    <row r="348" spans="1:11" ht="16.2" customHeight="1">
      <c r="A348" s="241">
        <v>45923</v>
      </c>
      <c r="B348" s="144" t="s">
        <v>3034</v>
      </c>
      <c r="C348" s="144" t="s">
        <v>173</v>
      </c>
      <c r="D348" s="144" t="s">
        <v>120</v>
      </c>
      <c r="E348" s="144"/>
      <c r="F348" s="144">
        <v>1000</v>
      </c>
      <c r="G348" s="182"/>
      <c r="H348" s="183">
        <f t="shared" si="5"/>
        <v>261610</v>
      </c>
      <c r="I348" s="144" t="s">
        <v>183</v>
      </c>
      <c r="J348" s="144" t="s">
        <v>3086</v>
      </c>
      <c r="K348" s="185"/>
    </row>
    <row r="349" spans="1:11" ht="16.2" customHeight="1">
      <c r="A349" s="241">
        <v>45923</v>
      </c>
      <c r="B349" s="144" t="s">
        <v>3077</v>
      </c>
      <c r="C349" s="144" t="s">
        <v>173</v>
      </c>
      <c r="D349" s="144" t="s">
        <v>120</v>
      </c>
      <c r="E349" s="144"/>
      <c r="F349" s="144">
        <v>1000</v>
      </c>
      <c r="G349" s="182"/>
      <c r="H349" s="183">
        <f t="shared" si="5"/>
        <v>260610</v>
      </c>
      <c r="I349" s="144" t="s">
        <v>183</v>
      </c>
      <c r="J349" s="144" t="s">
        <v>3086</v>
      </c>
      <c r="K349" s="185"/>
    </row>
    <row r="350" spans="1:11" ht="16.2" customHeight="1">
      <c r="A350" s="241">
        <v>45926</v>
      </c>
      <c r="B350" s="144" t="s">
        <v>2992</v>
      </c>
      <c r="C350" s="144" t="s">
        <v>123</v>
      </c>
      <c r="D350" s="144" t="s">
        <v>120</v>
      </c>
      <c r="E350" s="144">
        <v>40000</v>
      </c>
      <c r="F350" s="144"/>
      <c r="G350" s="182"/>
      <c r="H350" s="183">
        <f t="shared" si="5"/>
        <v>300610</v>
      </c>
      <c r="I350" s="144" t="s">
        <v>183</v>
      </c>
      <c r="J350" s="144" t="s">
        <v>3105</v>
      </c>
      <c r="K350" s="185"/>
    </row>
    <row r="351" spans="1:11" ht="16.2" customHeight="1">
      <c r="A351" s="241">
        <v>45929</v>
      </c>
      <c r="B351" s="144" t="s">
        <v>2992</v>
      </c>
      <c r="C351" s="144" t="s">
        <v>123</v>
      </c>
      <c r="D351" s="144" t="s">
        <v>120</v>
      </c>
      <c r="E351" s="144">
        <v>260000</v>
      </c>
      <c r="F351" s="144"/>
      <c r="G351" s="182"/>
      <c r="H351" s="183">
        <f t="shared" si="5"/>
        <v>560610</v>
      </c>
      <c r="I351" s="144" t="s">
        <v>183</v>
      </c>
      <c r="J351" s="144" t="s">
        <v>3106</v>
      </c>
      <c r="K351" s="185"/>
    </row>
    <row r="352" spans="1:11" ht="15.6">
      <c r="A352" s="241">
        <v>45929</v>
      </c>
      <c r="B352" s="144" t="s">
        <v>3078</v>
      </c>
      <c r="C352" s="144" t="s">
        <v>173</v>
      </c>
      <c r="D352" s="144" t="s">
        <v>120</v>
      </c>
      <c r="E352" s="144"/>
      <c r="F352" s="144">
        <v>1000</v>
      </c>
      <c r="G352" s="182"/>
      <c r="H352" s="183">
        <f t="shared" ref="H352:H362" si="6">H351+E352-F352</f>
        <v>559610</v>
      </c>
      <c r="I352" s="144" t="s">
        <v>183</v>
      </c>
      <c r="J352" s="144" t="s">
        <v>3086</v>
      </c>
      <c r="K352" s="185"/>
    </row>
    <row r="353" spans="1:11" ht="15.6">
      <c r="A353" s="241">
        <v>45929</v>
      </c>
      <c r="B353" s="144" t="s">
        <v>3993</v>
      </c>
      <c r="C353" s="144" t="s">
        <v>173</v>
      </c>
      <c r="D353" s="144" t="s">
        <v>120</v>
      </c>
      <c r="E353" s="144"/>
      <c r="F353" s="144">
        <v>1000</v>
      </c>
      <c r="G353" s="182"/>
      <c r="H353" s="183">
        <f t="shared" si="6"/>
        <v>558610</v>
      </c>
      <c r="I353" s="144" t="s">
        <v>183</v>
      </c>
      <c r="J353" s="144" t="s">
        <v>3086</v>
      </c>
      <c r="K353" s="185"/>
    </row>
    <row r="354" spans="1:11" ht="15.6">
      <c r="A354" s="241">
        <v>45929</v>
      </c>
      <c r="B354" s="144" t="s">
        <v>3079</v>
      </c>
      <c r="C354" s="144" t="s">
        <v>173</v>
      </c>
      <c r="D354" s="144" t="s">
        <v>120</v>
      </c>
      <c r="E354" s="144"/>
      <c r="F354" s="144">
        <v>1000</v>
      </c>
      <c r="G354" s="182"/>
      <c r="H354" s="183">
        <f t="shared" si="6"/>
        <v>557610</v>
      </c>
      <c r="I354" s="144" t="s">
        <v>183</v>
      </c>
      <c r="J354" s="144" t="s">
        <v>3086</v>
      </c>
      <c r="K354" s="185"/>
    </row>
    <row r="355" spans="1:11" ht="15.6">
      <c r="A355" s="241">
        <v>45929</v>
      </c>
      <c r="B355" s="144" t="s">
        <v>3080</v>
      </c>
      <c r="C355" s="144" t="s">
        <v>173</v>
      </c>
      <c r="D355" s="144" t="s">
        <v>120</v>
      </c>
      <c r="E355" s="144"/>
      <c r="F355" s="144">
        <v>1000</v>
      </c>
      <c r="G355" s="182"/>
      <c r="H355" s="183">
        <f t="shared" si="6"/>
        <v>556610</v>
      </c>
      <c r="I355" s="144" t="s">
        <v>183</v>
      </c>
      <c r="J355" s="144" t="s">
        <v>3086</v>
      </c>
      <c r="K355" s="185"/>
    </row>
    <row r="356" spans="1:11" ht="15.6">
      <c r="A356" s="241">
        <v>45929</v>
      </c>
      <c r="B356" s="144" t="s">
        <v>3081</v>
      </c>
      <c r="C356" s="144" t="s">
        <v>173</v>
      </c>
      <c r="D356" s="144" t="s">
        <v>120</v>
      </c>
      <c r="E356" s="144"/>
      <c r="F356" s="144">
        <v>1000</v>
      </c>
      <c r="G356" s="182"/>
      <c r="H356" s="183">
        <f t="shared" si="6"/>
        <v>555610</v>
      </c>
      <c r="I356" s="144" t="s">
        <v>183</v>
      </c>
      <c r="J356" s="144" t="s">
        <v>3086</v>
      </c>
      <c r="K356" s="185"/>
    </row>
    <row r="357" spans="1:11" ht="15.6">
      <c r="A357" s="241">
        <v>45929</v>
      </c>
      <c r="B357" s="144" t="s">
        <v>3082</v>
      </c>
      <c r="C357" s="144" t="s">
        <v>173</v>
      </c>
      <c r="D357" s="144" t="s">
        <v>120</v>
      </c>
      <c r="E357" s="144"/>
      <c r="F357" s="144">
        <v>1000</v>
      </c>
      <c r="G357" s="182"/>
      <c r="H357" s="183">
        <f t="shared" si="6"/>
        <v>554610</v>
      </c>
      <c r="I357" s="144" t="s">
        <v>183</v>
      </c>
      <c r="J357" s="144" t="s">
        <v>3086</v>
      </c>
      <c r="K357" s="185"/>
    </row>
    <row r="358" spans="1:11" ht="15.6">
      <c r="A358" s="241">
        <v>45929</v>
      </c>
      <c r="B358" s="174" t="s">
        <v>3083</v>
      </c>
      <c r="C358" s="174" t="s">
        <v>151</v>
      </c>
      <c r="D358" s="174" t="s">
        <v>120</v>
      </c>
      <c r="E358" s="144">
        <v>10000</v>
      </c>
      <c r="F358" s="144"/>
      <c r="G358" s="182"/>
      <c r="H358" s="183">
        <f t="shared" si="6"/>
        <v>564610</v>
      </c>
      <c r="I358" s="144" t="s">
        <v>183</v>
      </c>
      <c r="J358" s="144" t="s">
        <v>3107</v>
      </c>
      <c r="K358" s="185"/>
    </row>
    <row r="359" spans="1:11" ht="15.6">
      <c r="A359" s="241">
        <v>45929</v>
      </c>
      <c r="B359" s="174" t="s">
        <v>3083</v>
      </c>
      <c r="C359" s="174" t="s">
        <v>151</v>
      </c>
      <c r="D359" s="174" t="s">
        <v>2468</v>
      </c>
      <c r="E359" s="144"/>
      <c r="F359" s="144">
        <v>10000</v>
      </c>
      <c r="G359" s="182"/>
      <c r="H359" s="183">
        <f t="shared" si="6"/>
        <v>554610</v>
      </c>
      <c r="I359" s="144" t="s">
        <v>183</v>
      </c>
      <c r="J359" s="144" t="s">
        <v>3107</v>
      </c>
      <c r="K359" s="185"/>
    </row>
    <row r="360" spans="1:11" ht="15.6">
      <c r="A360" s="241">
        <v>45930</v>
      </c>
      <c r="B360" s="144" t="s">
        <v>3762</v>
      </c>
      <c r="C360" s="144" t="s">
        <v>176</v>
      </c>
      <c r="D360" s="144" t="s">
        <v>120</v>
      </c>
      <c r="E360" s="144"/>
      <c r="F360" s="144">
        <v>390000</v>
      </c>
      <c r="G360" s="182"/>
      <c r="H360" s="183">
        <f t="shared" si="6"/>
        <v>164610</v>
      </c>
      <c r="I360" s="144" t="s">
        <v>183</v>
      </c>
      <c r="J360" s="144" t="s">
        <v>3108</v>
      </c>
      <c r="K360" s="185"/>
    </row>
    <row r="361" spans="1:11" ht="15.6">
      <c r="A361" s="241">
        <v>45930</v>
      </c>
      <c r="B361" s="144" t="s">
        <v>3994</v>
      </c>
      <c r="C361" s="144" t="s">
        <v>173</v>
      </c>
      <c r="D361" s="144" t="s">
        <v>120</v>
      </c>
      <c r="E361" s="144"/>
      <c r="F361" s="144">
        <v>1000</v>
      </c>
      <c r="G361" s="182"/>
      <c r="H361" s="183">
        <f t="shared" si="6"/>
        <v>163610</v>
      </c>
      <c r="I361" s="144" t="s">
        <v>183</v>
      </c>
      <c r="J361" s="144" t="s">
        <v>3086</v>
      </c>
      <c r="K361" s="185"/>
    </row>
    <row r="362" spans="1:11" ht="15.6">
      <c r="A362" s="241">
        <v>45930</v>
      </c>
      <c r="B362" s="144" t="s">
        <v>3082</v>
      </c>
      <c r="C362" s="144" t="s">
        <v>173</v>
      </c>
      <c r="D362" s="144" t="s">
        <v>120</v>
      </c>
      <c r="E362" s="144"/>
      <c r="F362" s="144">
        <v>1000</v>
      </c>
      <c r="G362" s="182"/>
      <c r="H362" s="183">
        <f t="shared" si="6"/>
        <v>162610</v>
      </c>
      <c r="I362" s="144" t="s">
        <v>183</v>
      </c>
      <c r="J362" s="144" t="s">
        <v>3086</v>
      </c>
      <c r="K362" s="185"/>
    </row>
    <row r="363" spans="1:11" ht="15.6">
      <c r="A363" s="177"/>
      <c r="B363" s="185"/>
      <c r="C363" s="185"/>
      <c r="D363" s="185"/>
      <c r="E363" s="198">
        <f>SUM(E223:E362)</f>
        <v>961000</v>
      </c>
      <c r="F363" s="198">
        <f>SUM(F223:F362)</f>
        <v>932100</v>
      </c>
      <c r="G363" s="198"/>
      <c r="H363" s="206">
        <f>+E363-F363+H222</f>
        <v>162610</v>
      </c>
      <c r="I363" s="185"/>
      <c r="J363" s="185"/>
      <c r="K363" s="185"/>
    </row>
    <row r="364" spans="1:11" ht="15.6">
      <c r="A364" s="187"/>
      <c r="B364" s="185"/>
      <c r="C364" s="185"/>
      <c r="D364" s="185"/>
      <c r="E364" s="189"/>
      <c r="F364" s="189"/>
      <c r="G364" s="189"/>
      <c r="H364" s="190"/>
      <c r="I364" s="185"/>
      <c r="J364" s="185"/>
      <c r="K364" s="185"/>
    </row>
    <row r="365" spans="1:11" ht="15.6">
      <c r="A365" s="187"/>
      <c r="B365" s="185"/>
      <c r="C365" s="188" t="s">
        <v>456</v>
      </c>
      <c r="D365" s="185"/>
      <c r="E365" s="189"/>
      <c r="F365" s="189"/>
      <c r="G365" s="189"/>
      <c r="H365" s="190"/>
      <c r="I365" s="185"/>
      <c r="J365" s="185"/>
      <c r="K365" s="185"/>
    </row>
    <row r="366" spans="1:11" ht="15.6">
      <c r="A366" s="187"/>
      <c r="B366" s="185"/>
      <c r="C366" s="185"/>
      <c r="D366" s="185"/>
      <c r="E366" s="189"/>
      <c r="F366" s="189"/>
      <c r="G366" s="189"/>
      <c r="H366" s="190"/>
      <c r="I366" s="185"/>
      <c r="J366" s="185"/>
      <c r="K366" s="185"/>
    </row>
    <row r="367" spans="1:11" ht="15.6">
      <c r="A367" s="191" t="s">
        <v>0</v>
      </c>
      <c r="B367" s="192" t="s">
        <v>445</v>
      </c>
      <c r="C367" s="192" t="s">
        <v>446</v>
      </c>
      <c r="D367" s="192" t="s">
        <v>447</v>
      </c>
      <c r="E367" s="193" t="s">
        <v>448</v>
      </c>
      <c r="F367" s="193" t="s">
        <v>449</v>
      </c>
      <c r="G367" s="193"/>
      <c r="H367" s="200" t="s">
        <v>30</v>
      </c>
      <c r="I367" s="192" t="s">
        <v>450</v>
      </c>
      <c r="J367" s="192" t="s">
        <v>451</v>
      </c>
      <c r="K367" s="195"/>
    </row>
    <row r="368" spans="1:11" ht="15.6">
      <c r="A368" s="146">
        <v>45901</v>
      </c>
      <c r="B368" s="179" t="s">
        <v>3632</v>
      </c>
      <c r="C368" s="179"/>
      <c r="D368" s="179"/>
      <c r="E368" s="182"/>
      <c r="F368" s="182"/>
      <c r="G368" s="182"/>
      <c r="H368" s="183">
        <v>153950</v>
      </c>
      <c r="I368" s="179" t="s">
        <v>174</v>
      </c>
      <c r="J368" s="179"/>
      <c r="K368" s="185"/>
    </row>
    <row r="369" spans="1:11" ht="15.6">
      <c r="A369" s="330">
        <v>45901</v>
      </c>
      <c r="B369" s="181" t="s">
        <v>3867</v>
      </c>
      <c r="C369" s="223" t="s">
        <v>3109</v>
      </c>
      <c r="D369" s="174" t="s">
        <v>120</v>
      </c>
      <c r="E369" s="223"/>
      <c r="F369" s="223">
        <v>15000</v>
      </c>
      <c r="G369" s="182"/>
      <c r="H369" s="183">
        <f>H368+E369-F369</f>
        <v>138950</v>
      </c>
      <c r="I369" s="223" t="s">
        <v>174</v>
      </c>
      <c r="J369" s="223" t="s">
        <v>3192</v>
      </c>
      <c r="K369" s="185"/>
    </row>
    <row r="370" spans="1:11" ht="15.6">
      <c r="A370" s="330">
        <v>45901</v>
      </c>
      <c r="B370" s="174" t="s">
        <v>3110</v>
      </c>
      <c r="C370" s="174" t="s">
        <v>151</v>
      </c>
      <c r="D370" s="174" t="s">
        <v>120</v>
      </c>
      <c r="E370" s="223">
        <v>10000</v>
      </c>
      <c r="F370" s="223"/>
      <c r="G370" s="182"/>
      <c r="H370" s="183">
        <f t="shared" ref="H370:H433" si="7">H369+E370-F370</f>
        <v>148950</v>
      </c>
      <c r="I370" s="223" t="s">
        <v>174</v>
      </c>
      <c r="J370" s="223" t="s">
        <v>3193</v>
      </c>
      <c r="K370" s="185"/>
    </row>
    <row r="371" spans="1:11" ht="15.6">
      <c r="A371" s="330">
        <v>45901</v>
      </c>
      <c r="B371" s="174" t="s">
        <v>3110</v>
      </c>
      <c r="C371" s="174" t="s">
        <v>151</v>
      </c>
      <c r="D371" s="174" t="s">
        <v>120</v>
      </c>
      <c r="E371" s="223"/>
      <c r="F371" s="223">
        <v>10000</v>
      </c>
      <c r="G371" s="182"/>
      <c r="H371" s="183">
        <f t="shared" si="7"/>
        <v>138950</v>
      </c>
      <c r="I371" s="223" t="s">
        <v>174</v>
      </c>
      <c r="J371" s="223" t="s">
        <v>3193</v>
      </c>
      <c r="K371" s="185"/>
    </row>
    <row r="372" spans="1:11" ht="15.6">
      <c r="A372" s="330">
        <v>45903</v>
      </c>
      <c r="B372" s="181" t="s">
        <v>3111</v>
      </c>
      <c r="C372" s="223" t="s">
        <v>987</v>
      </c>
      <c r="D372" s="174" t="s">
        <v>120</v>
      </c>
      <c r="E372" s="223"/>
      <c r="F372" s="223">
        <v>50000</v>
      </c>
      <c r="G372" s="182"/>
      <c r="H372" s="183">
        <f t="shared" si="7"/>
        <v>88950</v>
      </c>
      <c r="I372" s="223" t="s">
        <v>174</v>
      </c>
      <c r="J372" s="223" t="s">
        <v>3194</v>
      </c>
      <c r="K372" s="185"/>
    </row>
    <row r="373" spans="1:11" ht="15.6">
      <c r="A373" s="330">
        <v>45903</v>
      </c>
      <c r="B373" s="223" t="s">
        <v>2489</v>
      </c>
      <c r="C373" s="223" t="s">
        <v>987</v>
      </c>
      <c r="D373" s="223" t="s">
        <v>120</v>
      </c>
      <c r="E373" s="223">
        <v>100000</v>
      </c>
      <c r="F373" s="223"/>
      <c r="G373" s="182"/>
      <c r="H373" s="183">
        <f t="shared" si="7"/>
        <v>188950</v>
      </c>
      <c r="I373" s="223" t="s">
        <v>174</v>
      </c>
      <c r="J373" s="223" t="s">
        <v>3195</v>
      </c>
      <c r="K373" s="185"/>
    </row>
    <row r="374" spans="1:11" ht="15.6">
      <c r="A374" s="330">
        <v>45903</v>
      </c>
      <c r="B374" s="223" t="s">
        <v>3112</v>
      </c>
      <c r="C374" s="223" t="s">
        <v>173</v>
      </c>
      <c r="D374" s="223" t="s">
        <v>120</v>
      </c>
      <c r="E374" s="223"/>
      <c r="F374" s="223">
        <v>1000</v>
      </c>
      <c r="G374" s="182"/>
      <c r="H374" s="183">
        <f t="shared" si="7"/>
        <v>187950</v>
      </c>
      <c r="I374" s="223" t="s">
        <v>174</v>
      </c>
      <c r="J374" s="223" t="s">
        <v>3196</v>
      </c>
      <c r="K374" s="185"/>
    </row>
    <row r="375" spans="1:11" ht="15.6">
      <c r="A375" s="330">
        <v>45903</v>
      </c>
      <c r="B375" s="223" t="s">
        <v>3113</v>
      </c>
      <c r="C375" s="223" t="s">
        <v>173</v>
      </c>
      <c r="D375" s="223" t="s">
        <v>120</v>
      </c>
      <c r="E375" s="223"/>
      <c r="F375" s="223">
        <v>1000</v>
      </c>
      <c r="G375" s="182"/>
      <c r="H375" s="183">
        <f t="shared" si="7"/>
        <v>186950</v>
      </c>
      <c r="I375" s="223" t="s">
        <v>174</v>
      </c>
      <c r="J375" s="223" t="s">
        <v>3196</v>
      </c>
      <c r="K375" s="185"/>
    </row>
    <row r="376" spans="1:11" ht="15.6">
      <c r="A376" s="330">
        <v>45903</v>
      </c>
      <c r="B376" s="223" t="s">
        <v>3875</v>
      </c>
      <c r="C376" s="223" t="s">
        <v>173</v>
      </c>
      <c r="D376" s="223" t="s">
        <v>120</v>
      </c>
      <c r="E376" s="223"/>
      <c r="F376" s="223">
        <v>9000</v>
      </c>
      <c r="G376" s="182"/>
      <c r="H376" s="183">
        <f t="shared" si="7"/>
        <v>177950</v>
      </c>
      <c r="I376" s="223" t="s">
        <v>174</v>
      </c>
      <c r="J376" s="223" t="s">
        <v>3197</v>
      </c>
      <c r="K376" s="185"/>
    </row>
    <row r="377" spans="1:11" ht="15.6">
      <c r="A377" s="355">
        <v>45903</v>
      </c>
      <c r="B377" s="223" t="s">
        <v>3114</v>
      </c>
      <c r="C377" s="223" t="s">
        <v>307</v>
      </c>
      <c r="D377" s="223" t="s">
        <v>120</v>
      </c>
      <c r="E377" s="324">
        <v>10000</v>
      </c>
      <c r="F377" s="223"/>
      <c r="G377" s="182"/>
      <c r="H377" s="183">
        <f t="shared" si="7"/>
        <v>187950</v>
      </c>
      <c r="I377" s="223" t="s">
        <v>174</v>
      </c>
      <c r="J377" s="181" t="s">
        <v>3198</v>
      </c>
      <c r="K377" s="185"/>
    </row>
    <row r="378" spans="1:11" ht="15.6">
      <c r="A378" s="355">
        <v>45903</v>
      </c>
      <c r="B378" s="223" t="s">
        <v>3114</v>
      </c>
      <c r="C378" s="223" t="s">
        <v>307</v>
      </c>
      <c r="D378" s="223" t="s">
        <v>120</v>
      </c>
      <c r="E378" s="223"/>
      <c r="F378" s="324">
        <v>10000</v>
      </c>
      <c r="G378" s="182"/>
      <c r="H378" s="183">
        <f t="shared" si="7"/>
        <v>177950</v>
      </c>
      <c r="I378" s="223" t="s">
        <v>174</v>
      </c>
      <c r="J378" s="181" t="s">
        <v>3198</v>
      </c>
      <c r="K378" s="185"/>
    </row>
    <row r="379" spans="1:11" ht="15.6">
      <c r="A379" s="330">
        <v>45904</v>
      </c>
      <c r="B379" s="223" t="s">
        <v>3995</v>
      </c>
      <c r="C379" s="223" t="s">
        <v>2391</v>
      </c>
      <c r="D379" s="223" t="s">
        <v>120</v>
      </c>
      <c r="E379" s="223"/>
      <c r="F379" s="223">
        <v>310000</v>
      </c>
      <c r="G379" s="182"/>
      <c r="H379" s="183">
        <f t="shared" si="7"/>
        <v>-132050</v>
      </c>
      <c r="I379" s="223" t="s">
        <v>174</v>
      </c>
      <c r="J379" s="223" t="s">
        <v>3199</v>
      </c>
      <c r="K379" s="185"/>
    </row>
    <row r="380" spans="1:11" ht="15.6">
      <c r="A380" s="330">
        <v>45904</v>
      </c>
      <c r="B380" s="223" t="s">
        <v>3115</v>
      </c>
      <c r="C380" s="223" t="s">
        <v>173</v>
      </c>
      <c r="D380" s="223" t="s">
        <v>120</v>
      </c>
      <c r="E380" s="223"/>
      <c r="F380" s="223">
        <v>1000</v>
      </c>
      <c r="G380" s="182"/>
      <c r="H380" s="183">
        <f t="shared" si="7"/>
        <v>-133050</v>
      </c>
      <c r="I380" s="223" t="s">
        <v>174</v>
      </c>
      <c r="J380" s="223" t="s">
        <v>3196</v>
      </c>
      <c r="K380" s="185"/>
    </row>
    <row r="381" spans="1:11" ht="15.6">
      <c r="A381" s="330">
        <v>45904</v>
      </c>
      <c r="B381" s="223" t="s">
        <v>3996</v>
      </c>
      <c r="C381" s="223" t="s">
        <v>173</v>
      </c>
      <c r="D381" s="223" t="s">
        <v>120</v>
      </c>
      <c r="E381" s="223"/>
      <c r="F381" s="223">
        <v>1000</v>
      </c>
      <c r="G381" s="182"/>
      <c r="H381" s="183">
        <f t="shared" si="7"/>
        <v>-134050</v>
      </c>
      <c r="I381" s="223" t="s">
        <v>174</v>
      </c>
      <c r="J381" s="223" t="s">
        <v>3196</v>
      </c>
      <c r="K381" s="185"/>
    </row>
    <row r="382" spans="1:11" ht="15.6">
      <c r="A382" s="330">
        <v>45905</v>
      </c>
      <c r="B382" s="223" t="s">
        <v>3997</v>
      </c>
      <c r="C382" s="223" t="s">
        <v>173</v>
      </c>
      <c r="D382" s="223" t="s">
        <v>120</v>
      </c>
      <c r="E382" s="223"/>
      <c r="F382" s="223">
        <v>1000</v>
      </c>
      <c r="G382" s="182"/>
      <c r="H382" s="183">
        <f t="shared" si="7"/>
        <v>-135050</v>
      </c>
      <c r="I382" s="223" t="s">
        <v>174</v>
      </c>
      <c r="J382" s="223" t="s">
        <v>3196</v>
      </c>
      <c r="K382" s="185"/>
    </row>
    <row r="383" spans="1:11" ht="15.6">
      <c r="A383" s="330">
        <v>45905</v>
      </c>
      <c r="B383" s="223" t="s">
        <v>3998</v>
      </c>
      <c r="C383" s="223" t="s">
        <v>173</v>
      </c>
      <c r="D383" s="223" t="s">
        <v>120</v>
      </c>
      <c r="E383" s="223"/>
      <c r="F383" s="223">
        <v>1000</v>
      </c>
      <c r="G383" s="182"/>
      <c r="H383" s="183">
        <f t="shared" si="7"/>
        <v>-136050</v>
      </c>
      <c r="I383" s="223" t="s">
        <v>174</v>
      </c>
      <c r="J383" s="223" t="s">
        <v>3196</v>
      </c>
      <c r="K383" s="185"/>
    </row>
    <row r="384" spans="1:11" ht="15.6">
      <c r="A384" s="330">
        <v>45905</v>
      </c>
      <c r="B384" s="223" t="s">
        <v>3999</v>
      </c>
      <c r="C384" s="223" t="s">
        <v>173</v>
      </c>
      <c r="D384" s="223" t="s">
        <v>120</v>
      </c>
      <c r="E384" s="223"/>
      <c r="F384" s="223">
        <v>1000</v>
      </c>
      <c r="G384" s="182"/>
      <c r="H384" s="183">
        <f t="shared" si="7"/>
        <v>-137050</v>
      </c>
      <c r="I384" s="223" t="s">
        <v>174</v>
      </c>
      <c r="J384" s="223" t="s">
        <v>3196</v>
      </c>
      <c r="K384" s="185"/>
    </row>
    <row r="385" spans="1:11" ht="15.6">
      <c r="A385" s="330">
        <v>45905</v>
      </c>
      <c r="B385" s="223" t="s">
        <v>4000</v>
      </c>
      <c r="C385" s="223" t="s">
        <v>173</v>
      </c>
      <c r="D385" s="223" t="s">
        <v>120</v>
      </c>
      <c r="E385" s="223"/>
      <c r="F385" s="223">
        <v>1000</v>
      </c>
      <c r="G385" s="182"/>
      <c r="H385" s="183">
        <f t="shared" si="7"/>
        <v>-138050</v>
      </c>
      <c r="I385" s="223" t="s">
        <v>174</v>
      </c>
      <c r="J385" s="223" t="s">
        <v>3196</v>
      </c>
      <c r="K385" s="185"/>
    </row>
    <row r="386" spans="1:11" ht="15.6">
      <c r="A386" s="330">
        <v>45905</v>
      </c>
      <c r="B386" s="223" t="s">
        <v>4001</v>
      </c>
      <c r="C386" s="223" t="s">
        <v>173</v>
      </c>
      <c r="D386" s="223" t="s">
        <v>120</v>
      </c>
      <c r="E386" s="223"/>
      <c r="F386" s="223">
        <v>1000</v>
      </c>
      <c r="G386" s="182"/>
      <c r="H386" s="183">
        <f t="shared" si="7"/>
        <v>-139050</v>
      </c>
      <c r="I386" s="223" t="s">
        <v>174</v>
      </c>
      <c r="J386" s="223" t="s">
        <v>3196</v>
      </c>
      <c r="K386" s="185"/>
    </row>
    <row r="387" spans="1:11" ht="15.6">
      <c r="A387" s="355">
        <v>45905</v>
      </c>
      <c r="B387" s="181" t="s">
        <v>3117</v>
      </c>
      <c r="C387" s="181" t="s">
        <v>987</v>
      </c>
      <c r="D387" s="181" t="s">
        <v>120</v>
      </c>
      <c r="E387" s="181">
        <v>116000</v>
      </c>
      <c r="F387" s="181"/>
      <c r="G387" s="182"/>
      <c r="H387" s="183">
        <f t="shared" si="7"/>
        <v>-23050</v>
      </c>
      <c r="I387" s="181" t="s">
        <v>174</v>
      </c>
      <c r="J387" s="181" t="s">
        <v>3200</v>
      </c>
      <c r="K387" s="185"/>
    </row>
    <row r="388" spans="1:11" ht="15.6">
      <c r="A388" s="330">
        <v>45905</v>
      </c>
      <c r="B388" s="223" t="s">
        <v>3118</v>
      </c>
      <c r="C388" s="223" t="s">
        <v>368</v>
      </c>
      <c r="D388" s="223" t="s">
        <v>120</v>
      </c>
      <c r="E388" s="223"/>
      <c r="F388" s="223">
        <v>2000</v>
      </c>
      <c r="G388" s="182"/>
      <c r="H388" s="183">
        <f t="shared" si="7"/>
        <v>-25050</v>
      </c>
      <c r="I388" s="223" t="s">
        <v>174</v>
      </c>
      <c r="J388" s="223" t="s">
        <v>3201</v>
      </c>
      <c r="K388" s="185"/>
    </row>
    <row r="389" spans="1:11" ht="15.6">
      <c r="A389" s="330">
        <v>45906</v>
      </c>
      <c r="B389" s="223" t="s">
        <v>3160</v>
      </c>
      <c r="C389" s="223" t="s">
        <v>173</v>
      </c>
      <c r="D389" s="223" t="s">
        <v>120</v>
      </c>
      <c r="E389" s="223"/>
      <c r="F389" s="223">
        <v>1000</v>
      </c>
      <c r="G389" s="182"/>
      <c r="H389" s="183">
        <f t="shared" si="7"/>
        <v>-26050</v>
      </c>
      <c r="I389" s="223" t="s">
        <v>174</v>
      </c>
      <c r="J389" s="223" t="s">
        <v>3196</v>
      </c>
      <c r="K389" s="185"/>
    </row>
    <row r="390" spans="1:11" ht="15.6">
      <c r="A390" s="330">
        <v>45906</v>
      </c>
      <c r="B390" s="223" t="s">
        <v>3875</v>
      </c>
      <c r="C390" s="223" t="s">
        <v>173</v>
      </c>
      <c r="D390" s="223" t="s">
        <v>120</v>
      </c>
      <c r="E390" s="223"/>
      <c r="F390" s="223">
        <v>3000</v>
      </c>
      <c r="G390" s="182"/>
      <c r="H390" s="183">
        <f t="shared" si="7"/>
        <v>-29050</v>
      </c>
      <c r="I390" s="223" t="s">
        <v>174</v>
      </c>
      <c r="J390" s="223" t="s">
        <v>3202</v>
      </c>
      <c r="K390" s="185"/>
    </row>
    <row r="391" spans="1:11" ht="15.6">
      <c r="A391" s="330">
        <v>45906</v>
      </c>
      <c r="B391" s="223" t="s">
        <v>4002</v>
      </c>
      <c r="C391" s="223" t="s">
        <v>173</v>
      </c>
      <c r="D391" s="223" t="s">
        <v>120</v>
      </c>
      <c r="E391" s="223"/>
      <c r="F391" s="223">
        <v>1000</v>
      </c>
      <c r="G391" s="182"/>
      <c r="H391" s="183">
        <f t="shared" si="7"/>
        <v>-30050</v>
      </c>
      <c r="I391" s="223" t="s">
        <v>174</v>
      </c>
      <c r="J391" s="223" t="s">
        <v>3196</v>
      </c>
      <c r="K391" s="185"/>
    </row>
    <row r="392" spans="1:11" ht="15.6">
      <c r="A392" s="330">
        <v>45906</v>
      </c>
      <c r="B392" s="223" t="s">
        <v>4003</v>
      </c>
      <c r="C392" s="223" t="s">
        <v>173</v>
      </c>
      <c r="D392" s="223" t="s">
        <v>120</v>
      </c>
      <c r="E392" s="223"/>
      <c r="F392" s="223">
        <v>1000</v>
      </c>
      <c r="G392" s="182"/>
      <c r="H392" s="183">
        <f t="shared" si="7"/>
        <v>-31050</v>
      </c>
      <c r="I392" s="223" t="s">
        <v>174</v>
      </c>
      <c r="J392" s="223" t="s">
        <v>3196</v>
      </c>
      <c r="K392" s="185"/>
    </row>
    <row r="393" spans="1:11" ht="15.6">
      <c r="A393" s="330">
        <v>45906</v>
      </c>
      <c r="B393" s="223" t="s">
        <v>4004</v>
      </c>
      <c r="C393" s="223" t="s">
        <v>173</v>
      </c>
      <c r="D393" s="223" t="s">
        <v>120</v>
      </c>
      <c r="E393" s="223"/>
      <c r="F393" s="223">
        <v>1000</v>
      </c>
      <c r="G393" s="182"/>
      <c r="H393" s="183">
        <f t="shared" si="7"/>
        <v>-32050</v>
      </c>
      <c r="I393" s="223" t="s">
        <v>174</v>
      </c>
      <c r="J393" s="223" t="s">
        <v>3196</v>
      </c>
      <c r="K393" s="185"/>
    </row>
    <row r="394" spans="1:11" ht="15.6">
      <c r="A394" s="330">
        <v>45906</v>
      </c>
      <c r="B394" s="223" t="s">
        <v>4005</v>
      </c>
      <c r="C394" s="223" t="s">
        <v>173</v>
      </c>
      <c r="D394" s="223" t="s">
        <v>120</v>
      </c>
      <c r="E394" s="223"/>
      <c r="F394" s="223">
        <v>1000</v>
      </c>
      <c r="G394" s="182"/>
      <c r="H394" s="183">
        <f t="shared" si="7"/>
        <v>-33050</v>
      </c>
      <c r="I394" s="223" t="s">
        <v>174</v>
      </c>
      <c r="J394" s="223" t="s">
        <v>3196</v>
      </c>
      <c r="K394" s="185"/>
    </row>
    <row r="395" spans="1:11" ht="15.6">
      <c r="A395" s="330">
        <v>45906</v>
      </c>
      <c r="B395" s="223" t="s">
        <v>4006</v>
      </c>
      <c r="C395" s="223" t="s">
        <v>173</v>
      </c>
      <c r="D395" s="223" t="s">
        <v>120</v>
      </c>
      <c r="E395" s="223"/>
      <c r="F395" s="223">
        <v>3000</v>
      </c>
      <c r="G395" s="182"/>
      <c r="H395" s="183">
        <f t="shared" si="7"/>
        <v>-36050</v>
      </c>
      <c r="I395" s="223" t="s">
        <v>174</v>
      </c>
      <c r="J395" s="223" t="s">
        <v>3203</v>
      </c>
      <c r="K395" s="185"/>
    </row>
    <row r="396" spans="1:11" ht="15.6">
      <c r="A396" s="330">
        <v>45906</v>
      </c>
      <c r="B396" s="223" t="s">
        <v>3118</v>
      </c>
      <c r="C396" s="223" t="s">
        <v>368</v>
      </c>
      <c r="D396" s="223" t="s">
        <v>120</v>
      </c>
      <c r="E396" s="223"/>
      <c r="F396" s="223">
        <v>1500</v>
      </c>
      <c r="G396" s="182"/>
      <c r="H396" s="183">
        <f t="shared" si="7"/>
        <v>-37550</v>
      </c>
      <c r="I396" s="223" t="s">
        <v>174</v>
      </c>
      <c r="J396" s="223" t="s">
        <v>3201</v>
      </c>
      <c r="K396" s="185"/>
    </row>
    <row r="397" spans="1:11" ht="15.6">
      <c r="A397" s="330">
        <v>45906</v>
      </c>
      <c r="B397" s="223" t="s">
        <v>4007</v>
      </c>
      <c r="C397" s="223" t="s">
        <v>173</v>
      </c>
      <c r="D397" s="223" t="s">
        <v>120</v>
      </c>
      <c r="E397" s="223"/>
      <c r="F397" s="223">
        <v>1000</v>
      </c>
      <c r="G397" s="182"/>
      <c r="H397" s="183">
        <f t="shared" si="7"/>
        <v>-38550</v>
      </c>
      <c r="I397" s="223" t="s">
        <v>174</v>
      </c>
      <c r="J397" s="223" t="s">
        <v>3196</v>
      </c>
      <c r="K397" s="185"/>
    </row>
    <row r="398" spans="1:11" ht="15.6">
      <c r="A398" s="330">
        <v>45907</v>
      </c>
      <c r="B398" s="223" t="s">
        <v>4008</v>
      </c>
      <c r="C398" s="223" t="s">
        <v>173</v>
      </c>
      <c r="D398" s="223" t="s">
        <v>120</v>
      </c>
      <c r="E398" s="223"/>
      <c r="F398" s="223">
        <v>1000</v>
      </c>
      <c r="G398" s="182"/>
      <c r="H398" s="183">
        <f t="shared" si="7"/>
        <v>-39550</v>
      </c>
      <c r="I398" s="223" t="s">
        <v>174</v>
      </c>
      <c r="J398" s="223" t="s">
        <v>3196</v>
      </c>
      <c r="K398" s="185"/>
    </row>
    <row r="399" spans="1:11" ht="15.6">
      <c r="A399" s="330">
        <v>45907</v>
      </c>
      <c r="B399" s="223" t="s">
        <v>4009</v>
      </c>
      <c r="C399" s="223" t="s">
        <v>173</v>
      </c>
      <c r="D399" s="223" t="s">
        <v>120</v>
      </c>
      <c r="E399" s="223"/>
      <c r="F399" s="223">
        <v>1000</v>
      </c>
      <c r="G399" s="182"/>
      <c r="H399" s="183">
        <f t="shared" si="7"/>
        <v>-40550</v>
      </c>
      <c r="I399" s="223" t="s">
        <v>174</v>
      </c>
      <c r="J399" s="223" t="s">
        <v>3196</v>
      </c>
      <c r="K399" s="185"/>
    </row>
    <row r="400" spans="1:11" ht="15.6">
      <c r="A400" s="330">
        <v>45907</v>
      </c>
      <c r="B400" s="223" t="s">
        <v>4010</v>
      </c>
      <c r="C400" s="223" t="s">
        <v>173</v>
      </c>
      <c r="D400" s="223" t="s">
        <v>120</v>
      </c>
      <c r="E400" s="223"/>
      <c r="F400" s="223">
        <v>1000</v>
      </c>
      <c r="G400" s="182"/>
      <c r="H400" s="183">
        <f t="shared" si="7"/>
        <v>-41550</v>
      </c>
      <c r="I400" s="223" t="s">
        <v>174</v>
      </c>
      <c r="J400" s="223" t="s">
        <v>3196</v>
      </c>
      <c r="K400" s="185"/>
    </row>
    <row r="401" spans="1:11" ht="15.6">
      <c r="A401" s="330">
        <v>45907</v>
      </c>
      <c r="B401" s="223" t="s">
        <v>4011</v>
      </c>
      <c r="C401" s="223" t="s">
        <v>173</v>
      </c>
      <c r="D401" s="223" t="s">
        <v>120</v>
      </c>
      <c r="E401" s="223"/>
      <c r="F401" s="223">
        <v>1000</v>
      </c>
      <c r="G401" s="182"/>
      <c r="H401" s="183">
        <f t="shared" si="7"/>
        <v>-42550</v>
      </c>
      <c r="I401" s="223" t="s">
        <v>174</v>
      </c>
      <c r="J401" s="223" t="s">
        <v>3196</v>
      </c>
      <c r="K401" s="185"/>
    </row>
    <row r="402" spans="1:11" ht="15.6">
      <c r="A402" s="330">
        <v>45907</v>
      </c>
      <c r="B402" s="223" t="s">
        <v>3118</v>
      </c>
      <c r="C402" s="223" t="s">
        <v>368</v>
      </c>
      <c r="D402" s="223" t="s">
        <v>120</v>
      </c>
      <c r="E402" s="223"/>
      <c r="F402" s="223">
        <v>1000</v>
      </c>
      <c r="G402" s="182"/>
      <c r="H402" s="183">
        <f t="shared" si="7"/>
        <v>-43550</v>
      </c>
      <c r="I402" s="223" t="s">
        <v>174</v>
      </c>
      <c r="J402" s="223" t="s">
        <v>3201</v>
      </c>
      <c r="K402" s="185"/>
    </row>
    <row r="403" spans="1:11" ht="15.6">
      <c r="A403" s="330">
        <v>45908</v>
      </c>
      <c r="B403" s="223" t="s">
        <v>4012</v>
      </c>
      <c r="C403" s="223" t="s">
        <v>173</v>
      </c>
      <c r="D403" s="223" t="s">
        <v>120</v>
      </c>
      <c r="E403" s="223"/>
      <c r="F403" s="223">
        <v>1000</v>
      </c>
      <c r="G403" s="182"/>
      <c r="H403" s="183">
        <f t="shared" si="7"/>
        <v>-44550</v>
      </c>
      <c r="I403" s="223" t="s">
        <v>174</v>
      </c>
      <c r="J403" s="223" t="s">
        <v>3196</v>
      </c>
      <c r="K403" s="185"/>
    </row>
    <row r="404" spans="1:11" ht="15.6">
      <c r="A404" s="330">
        <v>45908</v>
      </c>
      <c r="B404" s="223" t="s">
        <v>4013</v>
      </c>
      <c r="C404" s="223" t="s">
        <v>173</v>
      </c>
      <c r="D404" s="223" t="s">
        <v>120</v>
      </c>
      <c r="E404" s="223"/>
      <c r="F404" s="223">
        <v>1000</v>
      </c>
      <c r="G404" s="182"/>
      <c r="H404" s="183">
        <f t="shared" si="7"/>
        <v>-45550</v>
      </c>
      <c r="I404" s="223" t="s">
        <v>174</v>
      </c>
      <c r="J404" s="223" t="s">
        <v>3196</v>
      </c>
      <c r="K404" s="185"/>
    </row>
    <row r="405" spans="1:11" ht="15.6">
      <c r="A405" s="330">
        <v>45908</v>
      </c>
      <c r="B405" s="223" t="s">
        <v>3119</v>
      </c>
      <c r="C405" s="223" t="s">
        <v>173</v>
      </c>
      <c r="D405" s="223" t="s">
        <v>120</v>
      </c>
      <c r="E405" s="223"/>
      <c r="F405" s="223">
        <v>1000</v>
      </c>
      <c r="G405" s="182"/>
      <c r="H405" s="183">
        <f t="shared" si="7"/>
        <v>-46550</v>
      </c>
      <c r="I405" s="223" t="s">
        <v>174</v>
      </c>
      <c r="J405" s="223" t="s">
        <v>3196</v>
      </c>
      <c r="K405" s="185"/>
    </row>
    <row r="406" spans="1:11" ht="15.6">
      <c r="A406" s="330">
        <v>45908</v>
      </c>
      <c r="B406" s="223" t="s">
        <v>3120</v>
      </c>
      <c r="C406" s="223" t="s">
        <v>173</v>
      </c>
      <c r="D406" s="223" t="s">
        <v>120</v>
      </c>
      <c r="E406" s="223"/>
      <c r="F406" s="223">
        <v>1000</v>
      </c>
      <c r="G406" s="182"/>
      <c r="H406" s="183">
        <f t="shared" si="7"/>
        <v>-47550</v>
      </c>
      <c r="I406" s="223" t="s">
        <v>174</v>
      </c>
      <c r="J406" s="223" t="s">
        <v>3196</v>
      </c>
      <c r="K406" s="185"/>
    </row>
    <row r="407" spans="1:11" ht="15.6">
      <c r="A407" s="330">
        <v>45908</v>
      </c>
      <c r="B407" s="223" t="s">
        <v>3121</v>
      </c>
      <c r="C407" s="223" t="s">
        <v>173</v>
      </c>
      <c r="D407" s="223" t="s">
        <v>120</v>
      </c>
      <c r="E407" s="223"/>
      <c r="F407" s="223">
        <v>1000</v>
      </c>
      <c r="G407" s="182"/>
      <c r="H407" s="183">
        <f t="shared" si="7"/>
        <v>-48550</v>
      </c>
      <c r="I407" s="223" t="s">
        <v>174</v>
      </c>
      <c r="J407" s="223" t="s">
        <v>3196</v>
      </c>
      <c r="K407" s="185"/>
    </row>
    <row r="408" spans="1:11" ht="15.6">
      <c r="A408" s="330">
        <v>45908</v>
      </c>
      <c r="B408" s="223" t="s">
        <v>3122</v>
      </c>
      <c r="C408" s="223" t="s">
        <v>173</v>
      </c>
      <c r="D408" s="223" t="s">
        <v>120</v>
      </c>
      <c r="E408" s="223"/>
      <c r="F408" s="223">
        <v>1000</v>
      </c>
      <c r="G408" s="182"/>
      <c r="H408" s="183">
        <f t="shared" si="7"/>
        <v>-49550</v>
      </c>
      <c r="I408" s="223" t="s">
        <v>174</v>
      </c>
      <c r="J408" s="223" t="s">
        <v>3196</v>
      </c>
      <c r="K408" s="185"/>
    </row>
    <row r="409" spans="1:11" ht="15.6">
      <c r="A409" s="330">
        <v>45908</v>
      </c>
      <c r="B409" s="174" t="s">
        <v>3123</v>
      </c>
      <c r="C409" s="174" t="s">
        <v>151</v>
      </c>
      <c r="D409" s="223" t="s">
        <v>120</v>
      </c>
      <c r="E409" s="223">
        <v>10000</v>
      </c>
      <c r="F409" s="223"/>
      <c r="G409" s="182"/>
      <c r="H409" s="183">
        <f t="shared" si="7"/>
        <v>-39550</v>
      </c>
      <c r="I409" s="223" t="s">
        <v>174</v>
      </c>
      <c r="J409" s="223" t="s">
        <v>3204</v>
      </c>
      <c r="K409" s="185"/>
    </row>
    <row r="410" spans="1:11" ht="15.6">
      <c r="A410" s="330">
        <v>45908</v>
      </c>
      <c r="B410" s="174" t="s">
        <v>3123</v>
      </c>
      <c r="C410" s="174" t="s">
        <v>151</v>
      </c>
      <c r="D410" s="223" t="s">
        <v>120</v>
      </c>
      <c r="E410" s="223"/>
      <c r="F410" s="223">
        <v>10000</v>
      </c>
      <c r="G410" s="182"/>
      <c r="H410" s="183">
        <f t="shared" si="7"/>
        <v>-49550</v>
      </c>
      <c r="I410" s="223" t="s">
        <v>174</v>
      </c>
      <c r="J410" s="223" t="s">
        <v>3204</v>
      </c>
      <c r="K410" s="185"/>
    </row>
    <row r="411" spans="1:11" ht="15.6">
      <c r="A411" s="355">
        <v>45908</v>
      </c>
      <c r="B411" s="181" t="s">
        <v>3124</v>
      </c>
      <c r="C411" s="181" t="s">
        <v>368</v>
      </c>
      <c r="D411" s="181" t="s">
        <v>120</v>
      </c>
      <c r="E411" s="181"/>
      <c r="F411" s="181">
        <v>12000</v>
      </c>
      <c r="G411" s="182"/>
      <c r="H411" s="183">
        <f t="shared" si="7"/>
        <v>-61550</v>
      </c>
      <c r="I411" s="181" t="s">
        <v>174</v>
      </c>
      <c r="J411" s="223" t="s">
        <v>3201</v>
      </c>
      <c r="K411" s="185"/>
    </row>
    <row r="412" spans="1:11" ht="15.6">
      <c r="A412" s="330">
        <v>45909</v>
      </c>
      <c r="B412" s="223" t="s">
        <v>4014</v>
      </c>
      <c r="C412" s="223" t="s">
        <v>173</v>
      </c>
      <c r="D412" s="223" t="s">
        <v>120</v>
      </c>
      <c r="E412" s="223"/>
      <c r="F412" s="223">
        <v>1000</v>
      </c>
      <c r="G412" s="182"/>
      <c r="H412" s="183">
        <f t="shared" si="7"/>
        <v>-62550</v>
      </c>
      <c r="I412" s="223" t="s">
        <v>174</v>
      </c>
      <c r="J412" s="223" t="s">
        <v>3196</v>
      </c>
      <c r="K412" s="185"/>
    </row>
    <row r="413" spans="1:11" ht="15.6">
      <c r="A413" s="330">
        <v>45909</v>
      </c>
      <c r="B413" s="223" t="s">
        <v>4015</v>
      </c>
      <c r="C413" s="223" t="s">
        <v>1007</v>
      </c>
      <c r="D413" s="223" t="s">
        <v>120</v>
      </c>
      <c r="E413" s="223"/>
      <c r="F413" s="223">
        <v>1000</v>
      </c>
      <c r="G413" s="182"/>
      <c r="H413" s="183">
        <f t="shared" si="7"/>
        <v>-63550</v>
      </c>
      <c r="I413" s="223" t="s">
        <v>174</v>
      </c>
      <c r="J413" s="223" t="s">
        <v>3196</v>
      </c>
      <c r="K413" s="185"/>
    </row>
    <row r="414" spans="1:11" ht="15.6">
      <c r="A414" s="330">
        <v>45909</v>
      </c>
      <c r="B414" s="223" t="s">
        <v>4016</v>
      </c>
      <c r="C414" s="223" t="s">
        <v>1007</v>
      </c>
      <c r="D414" s="223" t="s">
        <v>120</v>
      </c>
      <c r="E414" s="223"/>
      <c r="F414" s="223">
        <v>1000</v>
      </c>
      <c r="G414" s="182"/>
      <c r="H414" s="183">
        <f t="shared" si="7"/>
        <v>-64550</v>
      </c>
      <c r="I414" s="223" t="s">
        <v>174</v>
      </c>
      <c r="J414" s="223" t="s">
        <v>3196</v>
      </c>
      <c r="K414" s="185"/>
    </row>
    <row r="415" spans="1:11" ht="15.6">
      <c r="A415" s="330">
        <v>45909</v>
      </c>
      <c r="B415" s="223" t="s">
        <v>4017</v>
      </c>
      <c r="C415" s="223" t="s">
        <v>1007</v>
      </c>
      <c r="D415" s="223" t="s">
        <v>120</v>
      </c>
      <c r="E415" s="223"/>
      <c r="F415" s="223">
        <v>1000</v>
      </c>
      <c r="G415" s="182"/>
      <c r="H415" s="183">
        <f t="shared" si="7"/>
        <v>-65550</v>
      </c>
      <c r="I415" s="223" t="s">
        <v>174</v>
      </c>
      <c r="J415" s="223" t="s">
        <v>3196</v>
      </c>
      <c r="K415" s="185"/>
    </row>
    <row r="416" spans="1:11" ht="15.6">
      <c r="A416" s="330">
        <v>45909</v>
      </c>
      <c r="B416" s="223" t="s">
        <v>4018</v>
      </c>
      <c r="C416" s="223" t="s">
        <v>1007</v>
      </c>
      <c r="D416" s="223" t="s">
        <v>120</v>
      </c>
      <c r="E416" s="223"/>
      <c r="F416" s="223">
        <v>1000</v>
      </c>
      <c r="G416" s="182"/>
      <c r="H416" s="183">
        <f t="shared" si="7"/>
        <v>-66550</v>
      </c>
      <c r="I416" s="223" t="s">
        <v>174</v>
      </c>
      <c r="J416" s="223" t="s">
        <v>3196</v>
      </c>
      <c r="K416" s="185"/>
    </row>
    <row r="417" spans="1:11" ht="15.6">
      <c r="A417" s="330">
        <v>45909</v>
      </c>
      <c r="B417" s="223" t="s">
        <v>3125</v>
      </c>
      <c r="C417" s="223" t="s">
        <v>368</v>
      </c>
      <c r="D417" s="223" t="s">
        <v>120</v>
      </c>
      <c r="E417" s="223"/>
      <c r="F417" s="223">
        <v>1500</v>
      </c>
      <c r="G417" s="182"/>
      <c r="H417" s="183">
        <f t="shared" si="7"/>
        <v>-68050</v>
      </c>
      <c r="I417" s="223" t="s">
        <v>174</v>
      </c>
      <c r="J417" s="223" t="s">
        <v>3201</v>
      </c>
      <c r="K417" s="185"/>
    </row>
    <row r="418" spans="1:11" ht="15.6">
      <c r="A418" s="330">
        <v>45910</v>
      </c>
      <c r="B418" s="223" t="s">
        <v>4019</v>
      </c>
      <c r="C418" s="223" t="s">
        <v>173</v>
      </c>
      <c r="D418" s="223" t="s">
        <v>120</v>
      </c>
      <c r="E418" s="223"/>
      <c r="F418" s="223">
        <v>1000</v>
      </c>
      <c r="G418" s="182"/>
      <c r="H418" s="183">
        <f t="shared" si="7"/>
        <v>-69050</v>
      </c>
      <c r="I418" s="223" t="s">
        <v>174</v>
      </c>
      <c r="J418" s="223" t="s">
        <v>3196</v>
      </c>
      <c r="K418" s="185"/>
    </row>
    <row r="419" spans="1:11" ht="15.6">
      <c r="A419" s="330">
        <v>45910</v>
      </c>
      <c r="B419" s="223" t="s">
        <v>4020</v>
      </c>
      <c r="C419" s="223" t="s">
        <v>173</v>
      </c>
      <c r="D419" s="223" t="s">
        <v>120</v>
      </c>
      <c r="E419" s="223"/>
      <c r="F419" s="223">
        <v>1000</v>
      </c>
      <c r="G419" s="182"/>
      <c r="H419" s="183">
        <f t="shared" si="7"/>
        <v>-70050</v>
      </c>
      <c r="I419" s="223" t="s">
        <v>174</v>
      </c>
      <c r="J419" s="223" t="s">
        <v>3196</v>
      </c>
      <c r="K419" s="185"/>
    </row>
    <row r="420" spans="1:11" ht="15.6">
      <c r="A420" s="330">
        <v>45910</v>
      </c>
      <c r="B420" s="223" t="s">
        <v>4021</v>
      </c>
      <c r="C420" s="223" t="s">
        <v>173</v>
      </c>
      <c r="D420" s="223" t="s">
        <v>120</v>
      </c>
      <c r="E420" s="223"/>
      <c r="F420" s="223">
        <v>1000</v>
      </c>
      <c r="G420" s="182"/>
      <c r="H420" s="183">
        <f t="shared" si="7"/>
        <v>-71050</v>
      </c>
      <c r="I420" s="223" t="s">
        <v>174</v>
      </c>
      <c r="J420" s="223" t="s">
        <v>3196</v>
      </c>
      <c r="K420" s="185"/>
    </row>
    <row r="421" spans="1:11" ht="15.6">
      <c r="A421" s="330">
        <v>45910</v>
      </c>
      <c r="B421" s="223" t="s">
        <v>4022</v>
      </c>
      <c r="C421" s="223" t="s">
        <v>173</v>
      </c>
      <c r="D421" s="223" t="s">
        <v>120</v>
      </c>
      <c r="E421" s="223"/>
      <c r="F421" s="223">
        <v>1000</v>
      </c>
      <c r="G421" s="182"/>
      <c r="H421" s="183">
        <f t="shared" si="7"/>
        <v>-72050</v>
      </c>
      <c r="I421" s="223" t="s">
        <v>174</v>
      </c>
      <c r="J421" s="223" t="s">
        <v>3196</v>
      </c>
      <c r="K421" s="185"/>
    </row>
    <row r="422" spans="1:11" ht="15.6">
      <c r="A422" s="330">
        <v>45910</v>
      </c>
      <c r="B422" s="223" t="s">
        <v>3126</v>
      </c>
      <c r="C422" s="223" t="s">
        <v>173</v>
      </c>
      <c r="D422" s="223" t="s">
        <v>120</v>
      </c>
      <c r="E422" s="223"/>
      <c r="F422" s="223">
        <v>1000</v>
      </c>
      <c r="G422" s="182"/>
      <c r="H422" s="183">
        <f t="shared" si="7"/>
        <v>-73050</v>
      </c>
      <c r="I422" s="223" t="s">
        <v>174</v>
      </c>
      <c r="J422" s="223" t="s">
        <v>3196</v>
      </c>
      <c r="K422" s="185"/>
    </row>
    <row r="423" spans="1:11" ht="15.6">
      <c r="A423" s="355">
        <v>45910</v>
      </c>
      <c r="B423" s="181" t="s">
        <v>3626</v>
      </c>
      <c r="C423" s="181" t="s">
        <v>987</v>
      </c>
      <c r="D423" s="181" t="s">
        <v>120</v>
      </c>
      <c r="E423" s="181">
        <v>38000</v>
      </c>
      <c r="F423" s="181"/>
      <c r="G423" s="182"/>
      <c r="H423" s="183">
        <f t="shared" si="7"/>
        <v>-35050</v>
      </c>
      <c r="I423" s="181" t="s">
        <v>174</v>
      </c>
      <c r="J423" s="181" t="s">
        <v>3205</v>
      </c>
      <c r="K423" s="185"/>
    </row>
    <row r="424" spans="1:11" ht="15.6">
      <c r="A424" s="330">
        <v>45910</v>
      </c>
      <c r="B424" s="223" t="s">
        <v>4023</v>
      </c>
      <c r="C424" s="223" t="s">
        <v>173</v>
      </c>
      <c r="D424" s="223" t="s">
        <v>120</v>
      </c>
      <c r="E424" s="223"/>
      <c r="F424" s="223">
        <v>1000</v>
      </c>
      <c r="G424" s="182"/>
      <c r="H424" s="183">
        <f t="shared" si="7"/>
        <v>-36050</v>
      </c>
      <c r="I424" s="223" t="s">
        <v>174</v>
      </c>
      <c r="J424" s="223" t="s">
        <v>3196</v>
      </c>
      <c r="K424" s="185"/>
    </row>
    <row r="425" spans="1:11" ht="15.6">
      <c r="A425" s="330">
        <v>45910</v>
      </c>
      <c r="B425" s="223" t="s">
        <v>3127</v>
      </c>
      <c r="C425" s="223" t="s">
        <v>368</v>
      </c>
      <c r="D425" s="223" t="s">
        <v>120</v>
      </c>
      <c r="E425" s="223"/>
      <c r="F425" s="223">
        <v>2000</v>
      </c>
      <c r="G425" s="182"/>
      <c r="H425" s="183">
        <f t="shared" si="7"/>
        <v>-38050</v>
      </c>
      <c r="I425" s="223" t="s">
        <v>174</v>
      </c>
      <c r="J425" s="223" t="s">
        <v>3201</v>
      </c>
      <c r="K425" s="185"/>
    </row>
    <row r="426" spans="1:11" ht="15.6">
      <c r="A426" s="330">
        <v>45911</v>
      </c>
      <c r="B426" s="223" t="s">
        <v>3128</v>
      </c>
      <c r="C426" s="223" t="s">
        <v>173</v>
      </c>
      <c r="D426" s="223" t="s">
        <v>120</v>
      </c>
      <c r="E426" s="223"/>
      <c r="F426" s="223">
        <v>1000</v>
      </c>
      <c r="G426" s="182"/>
      <c r="H426" s="183">
        <f t="shared" si="7"/>
        <v>-39050</v>
      </c>
      <c r="I426" s="223" t="s">
        <v>174</v>
      </c>
      <c r="J426" s="223" t="s">
        <v>3196</v>
      </c>
      <c r="K426" s="185"/>
    </row>
    <row r="427" spans="1:11" ht="15.6">
      <c r="A427" s="330">
        <v>45911</v>
      </c>
      <c r="B427" s="223" t="s">
        <v>3129</v>
      </c>
      <c r="C427" s="223" t="s">
        <v>173</v>
      </c>
      <c r="D427" s="223" t="s">
        <v>120</v>
      </c>
      <c r="E427" s="223"/>
      <c r="F427" s="223">
        <v>1000</v>
      </c>
      <c r="G427" s="182"/>
      <c r="H427" s="183">
        <f t="shared" si="7"/>
        <v>-40050</v>
      </c>
      <c r="I427" s="223" t="s">
        <v>174</v>
      </c>
      <c r="J427" s="223" t="s">
        <v>3196</v>
      </c>
      <c r="K427" s="185"/>
    </row>
    <row r="428" spans="1:11" ht="15.6">
      <c r="A428" s="330">
        <v>45911</v>
      </c>
      <c r="B428" s="223" t="s">
        <v>3130</v>
      </c>
      <c r="C428" s="223" t="s">
        <v>173</v>
      </c>
      <c r="D428" s="223" t="s">
        <v>120</v>
      </c>
      <c r="E428" s="223"/>
      <c r="F428" s="223">
        <v>1000</v>
      </c>
      <c r="G428" s="182"/>
      <c r="H428" s="183">
        <f t="shared" si="7"/>
        <v>-41050</v>
      </c>
      <c r="I428" s="223" t="s">
        <v>174</v>
      </c>
      <c r="J428" s="223" t="s">
        <v>3196</v>
      </c>
      <c r="K428" s="185"/>
    </row>
    <row r="429" spans="1:11" ht="15.6">
      <c r="A429" s="330">
        <v>45911</v>
      </c>
      <c r="B429" s="223" t="s">
        <v>3131</v>
      </c>
      <c r="C429" s="223" t="s">
        <v>173</v>
      </c>
      <c r="D429" s="223" t="s">
        <v>120</v>
      </c>
      <c r="E429" s="223"/>
      <c r="F429" s="223">
        <v>1000</v>
      </c>
      <c r="G429" s="182"/>
      <c r="H429" s="183">
        <f t="shared" si="7"/>
        <v>-42050</v>
      </c>
      <c r="I429" s="223" t="s">
        <v>174</v>
      </c>
      <c r="J429" s="223" t="s">
        <v>3196</v>
      </c>
      <c r="K429" s="185"/>
    </row>
    <row r="430" spans="1:11" ht="15.6">
      <c r="A430" s="330">
        <v>45911</v>
      </c>
      <c r="B430" s="223" t="s">
        <v>3132</v>
      </c>
      <c r="C430" s="223" t="s">
        <v>173</v>
      </c>
      <c r="D430" s="223" t="s">
        <v>120</v>
      </c>
      <c r="E430" s="223"/>
      <c r="F430" s="223">
        <v>1000</v>
      </c>
      <c r="G430" s="182"/>
      <c r="H430" s="183">
        <f t="shared" si="7"/>
        <v>-43050</v>
      </c>
      <c r="I430" s="223" t="s">
        <v>174</v>
      </c>
      <c r="J430" s="223" t="s">
        <v>3196</v>
      </c>
      <c r="K430" s="185"/>
    </row>
    <row r="431" spans="1:11" ht="15.6">
      <c r="A431" s="330">
        <v>45911</v>
      </c>
      <c r="B431" s="223" t="s">
        <v>3133</v>
      </c>
      <c r="C431" s="223" t="s">
        <v>173</v>
      </c>
      <c r="D431" s="223" t="s">
        <v>120</v>
      </c>
      <c r="E431" s="223"/>
      <c r="F431" s="223">
        <v>1000</v>
      </c>
      <c r="G431" s="182"/>
      <c r="H431" s="183">
        <f t="shared" si="7"/>
        <v>-44050</v>
      </c>
      <c r="I431" s="223" t="s">
        <v>174</v>
      </c>
      <c r="J431" s="223" t="s">
        <v>3196</v>
      </c>
      <c r="K431" s="185"/>
    </row>
    <row r="432" spans="1:11" ht="15.6">
      <c r="A432" s="330">
        <v>45911</v>
      </c>
      <c r="B432" s="223" t="s">
        <v>3134</v>
      </c>
      <c r="C432" s="223" t="s">
        <v>173</v>
      </c>
      <c r="D432" s="223" t="s">
        <v>120</v>
      </c>
      <c r="E432" s="223"/>
      <c r="F432" s="223">
        <v>1000</v>
      </c>
      <c r="G432" s="182"/>
      <c r="H432" s="183">
        <f t="shared" si="7"/>
        <v>-45050</v>
      </c>
      <c r="I432" s="223" t="s">
        <v>174</v>
      </c>
      <c r="J432" s="223" t="s">
        <v>3196</v>
      </c>
      <c r="K432" s="185"/>
    </row>
    <row r="433" spans="1:11" ht="15.6">
      <c r="A433" s="355">
        <v>45911</v>
      </c>
      <c r="B433" s="181" t="s">
        <v>3135</v>
      </c>
      <c r="C433" s="181" t="s">
        <v>987</v>
      </c>
      <c r="D433" s="181" t="s">
        <v>120</v>
      </c>
      <c r="E433" s="181">
        <v>120000</v>
      </c>
      <c r="F433" s="181"/>
      <c r="G433" s="182"/>
      <c r="H433" s="183">
        <f t="shared" si="7"/>
        <v>74950</v>
      </c>
      <c r="I433" s="223" t="s">
        <v>174</v>
      </c>
      <c r="J433" s="223" t="s">
        <v>3206</v>
      </c>
      <c r="K433" s="185"/>
    </row>
    <row r="434" spans="1:11" ht="15.6">
      <c r="A434" s="330">
        <v>45911</v>
      </c>
      <c r="B434" s="223" t="s">
        <v>3136</v>
      </c>
      <c r="C434" s="223" t="s">
        <v>173</v>
      </c>
      <c r="D434" s="223" t="s">
        <v>120</v>
      </c>
      <c r="E434" s="223"/>
      <c r="F434" s="223">
        <v>1000</v>
      </c>
      <c r="G434" s="182"/>
      <c r="H434" s="183">
        <f t="shared" ref="H434:H497" si="8">H433+E434-F434</f>
        <v>73950</v>
      </c>
      <c r="I434" s="223" t="s">
        <v>174</v>
      </c>
      <c r="J434" s="223" t="s">
        <v>3196</v>
      </c>
      <c r="K434" s="185"/>
    </row>
    <row r="435" spans="1:11" ht="15.6">
      <c r="A435" s="355">
        <v>45911</v>
      </c>
      <c r="B435" s="181" t="s">
        <v>3137</v>
      </c>
      <c r="C435" s="181" t="s">
        <v>368</v>
      </c>
      <c r="D435" s="181" t="s">
        <v>120</v>
      </c>
      <c r="E435" s="181"/>
      <c r="F435" s="181">
        <v>10500</v>
      </c>
      <c r="G435" s="182"/>
      <c r="H435" s="183">
        <f t="shared" si="8"/>
        <v>63450</v>
      </c>
      <c r="I435" s="181" t="s">
        <v>174</v>
      </c>
      <c r="J435" s="223" t="s">
        <v>3201</v>
      </c>
      <c r="K435" s="185"/>
    </row>
    <row r="436" spans="1:11" ht="15.6">
      <c r="A436" s="330">
        <v>45912</v>
      </c>
      <c r="B436" s="223" t="s">
        <v>4025</v>
      </c>
      <c r="C436" s="223" t="s">
        <v>173</v>
      </c>
      <c r="D436" s="223" t="s">
        <v>120</v>
      </c>
      <c r="E436" s="223"/>
      <c r="F436" s="223">
        <v>1000</v>
      </c>
      <c r="G436" s="182"/>
      <c r="H436" s="183">
        <f t="shared" si="8"/>
        <v>62450</v>
      </c>
      <c r="I436" s="223" t="s">
        <v>174</v>
      </c>
      <c r="J436" s="223" t="s">
        <v>3196</v>
      </c>
      <c r="K436" s="185"/>
    </row>
    <row r="437" spans="1:11" ht="15.6">
      <c r="A437" s="330">
        <v>45912</v>
      </c>
      <c r="B437" s="223" t="s">
        <v>4024</v>
      </c>
      <c r="C437" s="223" t="s">
        <v>173</v>
      </c>
      <c r="D437" s="223" t="s">
        <v>120</v>
      </c>
      <c r="E437" s="223"/>
      <c r="F437" s="223">
        <v>1000</v>
      </c>
      <c r="G437" s="182"/>
      <c r="H437" s="183">
        <f t="shared" si="8"/>
        <v>61450</v>
      </c>
      <c r="I437" s="223" t="s">
        <v>174</v>
      </c>
      <c r="J437" s="223" t="s">
        <v>3196</v>
      </c>
      <c r="K437" s="185"/>
    </row>
    <row r="438" spans="1:11" ht="15.6">
      <c r="A438" s="330">
        <v>45912</v>
      </c>
      <c r="B438" s="223" t="s">
        <v>4026</v>
      </c>
      <c r="C438" s="223" t="s">
        <v>173</v>
      </c>
      <c r="D438" s="223" t="s">
        <v>120</v>
      </c>
      <c r="E438" s="223"/>
      <c r="F438" s="223">
        <v>1000</v>
      </c>
      <c r="G438" s="182"/>
      <c r="H438" s="183">
        <f t="shared" si="8"/>
        <v>60450</v>
      </c>
      <c r="I438" s="223" t="s">
        <v>174</v>
      </c>
      <c r="J438" s="223" t="s">
        <v>3196</v>
      </c>
      <c r="K438" s="185"/>
    </row>
    <row r="439" spans="1:11" ht="15.6">
      <c r="A439" s="330">
        <v>45912</v>
      </c>
      <c r="B439" s="223" t="s">
        <v>4027</v>
      </c>
      <c r="C439" s="223" t="s">
        <v>173</v>
      </c>
      <c r="D439" s="223" t="s">
        <v>120</v>
      </c>
      <c r="E439" s="223"/>
      <c r="F439" s="223">
        <v>1000</v>
      </c>
      <c r="G439" s="182"/>
      <c r="H439" s="183">
        <f t="shared" si="8"/>
        <v>59450</v>
      </c>
      <c r="I439" s="223" t="s">
        <v>174</v>
      </c>
      <c r="J439" s="223" t="s">
        <v>3196</v>
      </c>
      <c r="K439" s="185"/>
    </row>
    <row r="440" spans="1:11" ht="15.6">
      <c r="A440" s="330">
        <v>45913</v>
      </c>
      <c r="B440" s="223" t="s">
        <v>4028</v>
      </c>
      <c r="C440" s="223" t="s">
        <v>173</v>
      </c>
      <c r="D440" s="223" t="s">
        <v>120</v>
      </c>
      <c r="E440" s="223"/>
      <c r="F440" s="223">
        <v>1000</v>
      </c>
      <c r="G440" s="182"/>
      <c r="H440" s="183">
        <f t="shared" si="8"/>
        <v>58450</v>
      </c>
      <c r="I440" s="223" t="s">
        <v>174</v>
      </c>
      <c r="J440" s="223" t="s">
        <v>3196</v>
      </c>
      <c r="K440" s="185"/>
    </row>
    <row r="441" spans="1:11" ht="15.6">
      <c r="A441" s="330">
        <v>45913</v>
      </c>
      <c r="B441" s="223" t="s">
        <v>4029</v>
      </c>
      <c r="C441" s="223" t="s">
        <v>173</v>
      </c>
      <c r="D441" s="223" t="s">
        <v>120</v>
      </c>
      <c r="E441" s="223"/>
      <c r="F441" s="223">
        <v>1000</v>
      </c>
      <c r="G441" s="182"/>
      <c r="H441" s="183">
        <f t="shared" si="8"/>
        <v>57450</v>
      </c>
      <c r="I441" s="223" t="s">
        <v>174</v>
      </c>
      <c r="J441" s="223" t="s">
        <v>3196</v>
      </c>
      <c r="K441" s="185"/>
    </row>
    <row r="442" spans="1:11" ht="15.6">
      <c r="A442" s="330">
        <v>45914</v>
      </c>
      <c r="B442" s="223" t="s">
        <v>3140</v>
      </c>
      <c r="C442" s="223" t="s">
        <v>173</v>
      </c>
      <c r="D442" s="223" t="s">
        <v>120</v>
      </c>
      <c r="E442" s="223"/>
      <c r="F442" s="223">
        <v>1000</v>
      </c>
      <c r="G442" s="182"/>
      <c r="H442" s="183">
        <f t="shared" si="8"/>
        <v>56450</v>
      </c>
      <c r="I442" s="223" t="s">
        <v>174</v>
      </c>
      <c r="J442" s="223" t="s">
        <v>3196</v>
      </c>
      <c r="K442" s="185"/>
    </row>
    <row r="443" spans="1:11" ht="15.6">
      <c r="A443" s="330">
        <v>45914</v>
      </c>
      <c r="B443" s="223" t="s">
        <v>3141</v>
      </c>
      <c r="C443" s="223" t="s">
        <v>173</v>
      </c>
      <c r="D443" s="223" t="s">
        <v>120</v>
      </c>
      <c r="E443" s="223"/>
      <c r="F443" s="223">
        <v>1000</v>
      </c>
      <c r="G443" s="182"/>
      <c r="H443" s="183">
        <f t="shared" si="8"/>
        <v>55450</v>
      </c>
      <c r="I443" s="223" t="s">
        <v>174</v>
      </c>
      <c r="J443" s="223" t="s">
        <v>3196</v>
      </c>
      <c r="K443" s="185"/>
    </row>
    <row r="444" spans="1:11" ht="15.6">
      <c r="A444" s="330">
        <v>45914</v>
      </c>
      <c r="B444" s="223" t="s">
        <v>3142</v>
      </c>
      <c r="C444" s="223" t="s">
        <v>173</v>
      </c>
      <c r="D444" s="223" t="s">
        <v>120</v>
      </c>
      <c r="E444" s="223"/>
      <c r="F444" s="223">
        <v>1000</v>
      </c>
      <c r="G444" s="182"/>
      <c r="H444" s="183">
        <f t="shared" si="8"/>
        <v>54450</v>
      </c>
      <c r="I444" s="223" t="s">
        <v>174</v>
      </c>
      <c r="J444" s="223" t="s">
        <v>3196</v>
      </c>
      <c r="K444" s="185"/>
    </row>
    <row r="445" spans="1:11" ht="15.6">
      <c r="A445" s="330">
        <v>45914</v>
      </c>
      <c r="B445" s="223" t="s">
        <v>3143</v>
      </c>
      <c r="C445" s="223" t="s">
        <v>173</v>
      </c>
      <c r="D445" s="223" t="s">
        <v>120</v>
      </c>
      <c r="E445" s="223"/>
      <c r="F445" s="223">
        <v>1000</v>
      </c>
      <c r="G445" s="182"/>
      <c r="H445" s="183">
        <f t="shared" si="8"/>
        <v>53450</v>
      </c>
      <c r="I445" s="223" t="s">
        <v>174</v>
      </c>
      <c r="J445" s="223" t="s">
        <v>3196</v>
      </c>
      <c r="K445" s="185"/>
    </row>
    <row r="446" spans="1:11" ht="15.6">
      <c r="A446" s="330">
        <v>45914</v>
      </c>
      <c r="B446" s="223" t="s">
        <v>3144</v>
      </c>
      <c r="C446" s="223" t="s">
        <v>173</v>
      </c>
      <c r="D446" s="223" t="s">
        <v>120</v>
      </c>
      <c r="E446" s="223"/>
      <c r="F446" s="223">
        <v>1000</v>
      </c>
      <c r="G446" s="182"/>
      <c r="H446" s="183">
        <f t="shared" si="8"/>
        <v>52450</v>
      </c>
      <c r="I446" s="223" t="s">
        <v>174</v>
      </c>
      <c r="J446" s="223" t="s">
        <v>3196</v>
      </c>
      <c r="K446" s="185"/>
    </row>
    <row r="447" spans="1:11" ht="15.6">
      <c r="A447" s="330">
        <v>45914</v>
      </c>
      <c r="B447" s="223" t="s">
        <v>3145</v>
      </c>
      <c r="C447" s="223" t="s">
        <v>173</v>
      </c>
      <c r="D447" s="223" t="s">
        <v>120</v>
      </c>
      <c r="E447" s="223"/>
      <c r="F447" s="223">
        <v>1000</v>
      </c>
      <c r="G447" s="182"/>
      <c r="H447" s="183">
        <f t="shared" si="8"/>
        <v>51450</v>
      </c>
      <c r="I447" s="223" t="s">
        <v>174</v>
      </c>
      <c r="J447" s="223" t="s">
        <v>3196</v>
      </c>
      <c r="K447" s="185"/>
    </row>
    <row r="448" spans="1:11" ht="15.6">
      <c r="A448" s="330">
        <v>45914</v>
      </c>
      <c r="B448" s="223" t="s">
        <v>3146</v>
      </c>
      <c r="C448" s="223" t="s">
        <v>173</v>
      </c>
      <c r="D448" s="223" t="s">
        <v>120</v>
      </c>
      <c r="E448" s="223"/>
      <c r="F448" s="223">
        <v>1000</v>
      </c>
      <c r="G448" s="182"/>
      <c r="H448" s="183">
        <f t="shared" si="8"/>
        <v>50450</v>
      </c>
      <c r="I448" s="223" t="s">
        <v>174</v>
      </c>
      <c r="J448" s="223" t="s">
        <v>3196</v>
      </c>
      <c r="K448" s="185"/>
    </row>
    <row r="449" spans="1:11" ht="15.6">
      <c r="A449" s="330">
        <v>45915</v>
      </c>
      <c r="B449" s="223" t="s">
        <v>3147</v>
      </c>
      <c r="C449" s="223" t="s">
        <v>173</v>
      </c>
      <c r="D449" s="223" t="s">
        <v>120</v>
      </c>
      <c r="E449" s="223"/>
      <c r="F449" s="223">
        <v>1000</v>
      </c>
      <c r="G449" s="182"/>
      <c r="H449" s="183">
        <f t="shared" si="8"/>
        <v>49450</v>
      </c>
      <c r="I449" s="223" t="s">
        <v>174</v>
      </c>
      <c r="J449" s="223" t="s">
        <v>3196</v>
      </c>
      <c r="K449" s="185"/>
    </row>
    <row r="450" spans="1:11" ht="15.6">
      <c r="A450" s="330">
        <v>45915</v>
      </c>
      <c r="B450" s="223" t="s">
        <v>3148</v>
      </c>
      <c r="C450" s="223" t="s">
        <v>173</v>
      </c>
      <c r="D450" s="223" t="s">
        <v>120</v>
      </c>
      <c r="E450" s="223"/>
      <c r="F450" s="223">
        <v>1000</v>
      </c>
      <c r="G450" s="182"/>
      <c r="H450" s="183">
        <f t="shared" si="8"/>
        <v>48450</v>
      </c>
      <c r="I450" s="223" t="s">
        <v>174</v>
      </c>
      <c r="J450" s="223" t="s">
        <v>3196</v>
      </c>
      <c r="K450" s="185"/>
    </row>
    <row r="451" spans="1:11" ht="15.6">
      <c r="A451" s="330">
        <v>45915</v>
      </c>
      <c r="B451" s="223" t="s">
        <v>3149</v>
      </c>
      <c r="C451" s="223" t="s">
        <v>173</v>
      </c>
      <c r="D451" s="223" t="s">
        <v>120</v>
      </c>
      <c r="E451" s="223"/>
      <c r="F451" s="223">
        <v>1000</v>
      </c>
      <c r="G451" s="182"/>
      <c r="H451" s="183">
        <f t="shared" si="8"/>
        <v>47450</v>
      </c>
      <c r="I451" s="223" t="s">
        <v>174</v>
      </c>
      <c r="J451" s="223" t="s">
        <v>3196</v>
      </c>
      <c r="K451" s="185"/>
    </row>
    <row r="452" spans="1:11" ht="15.6">
      <c r="A452" s="330">
        <v>45915</v>
      </c>
      <c r="B452" s="223" t="s">
        <v>3150</v>
      </c>
      <c r="C452" s="223" t="s">
        <v>173</v>
      </c>
      <c r="D452" s="223" t="s">
        <v>120</v>
      </c>
      <c r="E452" s="223"/>
      <c r="F452" s="223">
        <v>1000</v>
      </c>
      <c r="G452" s="182"/>
      <c r="H452" s="183">
        <f t="shared" si="8"/>
        <v>46450</v>
      </c>
      <c r="I452" s="223" t="s">
        <v>174</v>
      </c>
      <c r="J452" s="223" t="s">
        <v>3196</v>
      </c>
      <c r="K452" s="185"/>
    </row>
    <row r="453" spans="1:11" ht="15.6">
      <c r="A453" s="330">
        <v>45915</v>
      </c>
      <c r="B453" s="223" t="s">
        <v>3151</v>
      </c>
      <c r="C453" s="223" t="s">
        <v>173</v>
      </c>
      <c r="D453" s="223" t="s">
        <v>120</v>
      </c>
      <c r="E453" s="223"/>
      <c r="F453" s="223">
        <v>1000</v>
      </c>
      <c r="G453" s="182"/>
      <c r="H453" s="183">
        <f t="shared" si="8"/>
        <v>45450</v>
      </c>
      <c r="I453" s="223" t="s">
        <v>174</v>
      </c>
      <c r="J453" s="223" t="s">
        <v>3196</v>
      </c>
      <c r="K453" s="185"/>
    </row>
    <row r="454" spans="1:11" ht="15.6">
      <c r="A454" s="355">
        <v>45915</v>
      </c>
      <c r="B454" s="181" t="s">
        <v>3152</v>
      </c>
      <c r="C454" s="181" t="s">
        <v>173</v>
      </c>
      <c r="D454" s="181" t="s">
        <v>120</v>
      </c>
      <c r="E454" s="181"/>
      <c r="F454" s="181">
        <v>1000</v>
      </c>
      <c r="G454" s="182"/>
      <c r="H454" s="183">
        <f t="shared" si="8"/>
        <v>44450</v>
      </c>
      <c r="I454" s="181" t="s">
        <v>174</v>
      </c>
      <c r="J454" s="223" t="s">
        <v>3196</v>
      </c>
      <c r="K454" s="185"/>
    </row>
    <row r="455" spans="1:11" ht="15.6">
      <c r="A455" s="330">
        <v>45915</v>
      </c>
      <c r="B455" s="223" t="s">
        <v>3135</v>
      </c>
      <c r="C455" s="223" t="s">
        <v>987</v>
      </c>
      <c r="D455" s="223" t="s">
        <v>120</v>
      </c>
      <c r="E455" s="223">
        <v>90000</v>
      </c>
      <c r="F455" s="223"/>
      <c r="G455" s="182"/>
      <c r="H455" s="183">
        <f t="shared" si="8"/>
        <v>134450</v>
      </c>
      <c r="I455" s="223" t="s">
        <v>174</v>
      </c>
      <c r="J455" s="223" t="s">
        <v>3207</v>
      </c>
      <c r="K455" s="185"/>
    </row>
    <row r="456" spans="1:11" ht="15.6">
      <c r="A456" s="330">
        <v>45916</v>
      </c>
      <c r="B456" s="223" t="s">
        <v>3153</v>
      </c>
      <c r="C456" s="223" t="s">
        <v>173</v>
      </c>
      <c r="D456" s="223" t="s">
        <v>120</v>
      </c>
      <c r="E456" s="223"/>
      <c r="F456" s="223">
        <v>1000</v>
      </c>
      <c r="G456" s="182"/>
      <c r="H456" s="183">
        <f t="shared" si="8"/>
        <v>133450</v>
      </c>
      <c r="I456" s="223" t="s">
        <v>174</v>
      </c>
      <c r="J456" s="223" t="s">
        <v>3196</v>
      </c>
      <c r="K456" s="185"/>
    </row>
    <row r="457" spans="1:11" ht="15.6">
      <c r="A457" s="330">
        <v>45916</v>
      </c>
      <c r="B457" s="223" t="s">
        <v>3154</v>
      </c>
      <c r="C457" s="223" t="s">
        <v>173</v>
      </c>
      <c r="D457" s="223" t="s">
        <v>120</v>
      </c>
      <c r="E457" s="223"/>
      <c r="F457" s="223">
        <v>1000</v>
      </c>
      <c r="G457" s="182"/>
      <c r="H457" s="183">
        <f t="shared" si="8"/>
        <v>132450</v>
      </c>
      <c r="I457" s="223" t="s">
        <v>174</v>
      </c>
      <c r="J457" s="223" t="s">
        <v>3196</v>
      </c>
      <c r="K457" s="185"/>
    </row>
    <row r="458" spans="1:11" ht="15.6">
      <c r="A458" s="330">
        <v>45916</v>
      </c>
      <c r="B458" s="223" t="s">
        <v>3155</v>
      </c>
      <c r="C458" s="223" t="s">
        <v>173</v>
      </c>
      <c r="D458" s="223" t="s">
        <v>120</v>
      </c>
      <c r="E458" s="223"/>
      <c r="F458" s="223">
        <v>1000</v>
      </c>
      <c r="G458" s="182"/>
      <c r="H458" s="183">
        <f t="shared" si="8"/>
        <v>131450</v>
      </c>
      <c r="I458" s="223" t="s">
        <v>174</v>
      </c>
      <c r="J458" s="223" t="s">
        <v>3196</v>
      </c>
      <c r="K458" s="185"/>
    </row>
    <row r="459" spans="1:11" ht="15.6">
      <c r="A459" s="330">
        <v>45916</v>
      </c>
      <c r="B459" s="223" t="s">
        <v>3155</v>
      </c>
      <c r="C459" s="223" t="s">
        <v>173</v>
      </c>
      <c r="D459" s="223" t="s">
        <v>120</v>
      </c>
      <c r="E459" s="223"/>
      <c r="F459" s="223">
        <v>1000</v>
      </c>
      <c r="G459" s="182"/>
      <c r="H459" s="183">
        <f t="shared" si="8"/>
        <v>130450</v>
      </c>
      <c r="I459" s="223" t="s">
        <v>174</v>
      </c>
      <c r="J459" s="223" t="s">
        <v>3196</v>
      </c>
      <c r="K459" s="185"/>
    </row>
    <row r="460" spans="1:11" ht="15.6">
      <c r="A460" s="330">
        <v>45916</v>
      </c>
      <c r="B460" s="223" t="s">
        <v>3156</v>
      </c>
      <c r="C460" s="223" t="s">
        <v>173</v>
      </c>
      <c r="D460" s="223" t="s">
        <v>120</v>
      </c>
      <c r="E460" s="223"/>
      <c r="F460" s="223">
        <v>1000</v>
      </c>
      <c r="G460" s="182"/>
      <c r="H460" s="183">
        <f t="shared" si="8"/>
        <v>129450</v>
      </c>
      <c r="I460" s="223" t="s">
        <v>174</v>
      </c>
      <c r="J460" s="223" t="s">
        <v>3196</v>
      </c>
      <c r="K460" s="185"/>
    </row>
    <row r="461" spans="1:11" ht="15.6">
      <c r="A461" s="330">
        <v>45916</v>
      </c>
      <c r="B461" s="223" t="s">
        <v>3157</v>
      </c>
      <c r="C461" s="223" t="s">
        <v>173</v>
      </c>
      <c r="D461" s="223" t="s">
        <v>120</v>
      </c>
      <c r="E461" s="223"/>
      <c r="F461" s="223">
        <v>1000</v>
      </c>
      <c r="G461" s="182"/>
      <c r="H461" s="183">
        <f t="shared" si="8"/>
        <v>128450</v>
      </c>
      <c r="I461" s="223" t="s">
        <v>174</v>
      </c>
      <c r="J461" s="223" t="s">
        <v>3196</v>
      </c>
      <c r="K461" s="185"/>
    </row>
    <row r="462" spans="1:11" ht="15.6">
      <c r="A462" s="330">
        <v>45917</v>
      </c>
      <c r="B462" s="223" t="s">
        <v>3158</v>
      </c>
      <c r="C462" s="223" t="s">
        <v>173</v>
      </c>
      <c r="D462" s="223" t="s">
        <v>120</v>
      </c>
      <c r="E462" s="223"/>
      <c r="F462" s="223">
        <v>1000</v>
      </c>
      <c r="G462" s="182"/>
      <c r="H462" s="183">
        <f t="shared" si="8"/>
        <v>127450</v>
      </c>
      <c r="I462" s="223" t="s">
        <v>174</v>
      </c>
      <c r="J462" s="223" t="s">
        <v>3196</v>
      </c>
      <c r="K462" s="185"/>
    </row>
    <row r="463" spans="1:11" ht="15.6">
      <c r="A463" s="330">
        <v>45917</v>
      </c>
      <c r="B463" s="223" t="s">
        <v>4030</v>
      </c>
      <c r="C463" s="223" t="s">
        <v>173</v>
      </c>
      <c r="D463" s="223" t="s">
        <v>120</v>
      </c>
      <c r="E463" s="223"/>
      <c r="F463" s="223">
        <v>6000</v>
      </c>
      <c r="G463" s="182"/>
      <c r="H463" s="183">
        <f t="shared" si="8"/>
        <v>121450</v>
      </c>
      <c r="I463" s="223" t="s">
        <v>174</v>
      </c>
      <c r="J463" s="223" t="s">
        <v>3208</v>
      </c>
      <c r="K463" s="185"/>
    </row>
    <row r="464" spans="1:11" ht="15.6">
      <c r="A464" s="330">
        <v>45917</v>
      </c>
      <c r="B464" s="223" t="s">
        <v>4031</v>
      </c>
      <c r="C464" s="223" t="s">
        <v>173</v>
      </c>
      <c r="D464" s="223" t="s">
        <v>120</v>
      </c>
      <c r="E464" s="223"/>
      <c r="F464" s="223">
        <v>1000</v>
      </c>
      <c r="G464" s="182"/>
      <c r="H464" s="183">
        <f t="shared" si="8"/>
        <v>120450</v>
      </c>
      <c r="I464" s="223" t="s">
        <v>174</v>
      </c>
      <c r="J464" s="223" t="s">
        <v>3196</v>
      </c>
      <c r="K464" s="185"/>
    </row>
    <row r="465" spans="1:11" ht="15.6">
      <c r="A465" s="330">
        <v>45917</v>
      </c>
      <c r="B465" s="223" t="s">
        <v>4032</v>
      </c>
      <c r="C465" s="223" t="s">
        <v>173</v>
      </c>
      <c r="D465" s="223" t="s">
        <v>120</v>
      </c>
      <c r="E465" s="223"/>
      <c r="F465" s="223">
        <v>1000</v>
      </c>
      <c r="G465" s="182"/>
      <c r="H465" s="183">
        <f t="shared" si="8"/>
        <v>119450</v>
      </c>
      <c r="I465" s="223" t="s">
        <v>174</v>
      </c>
      <c r="J465" s="223" t="s">
        <v>3196</v>
      </c>
      <c r="K465" s="185"/>
    </row>
    <row r="466" spans="1:11" ht="15.6">
      <c r="A466" s="330">
        <v>45917</v>
      </c>
      <c r="B466" s="223" t="s">
        <v>3872</v>
      </c>
      <c r="C466" s="223" t="s">
        <v>1007</v>
      </c>
      <c r="D466" s="223" t="s">
        <v>120</v>
      </c>
      <c r="E466" s="223"/>
      <c r="F466" s="223">
        <v>6000</v>
      </c>
      <c r="G466" s="182"/>
      <c r="H466" s="183">
        <f t="shared" si="8"/>
        <v>113450</v>
      </c>
      <c r="I466" s="223" t="s">
        <v>174</v>
      </c>
      <c r="J466" s="223" t="s">
        <v>3209</v>
      </c>
      <c r="K466" s="185"/>
    </row>
    <row r="467" spans="1:11" ht="15.6">
      <c r="A467" s="330">
        <v>45917</v>
      </c>
      <c r="B467" s="223" t="s">
        <v>3118</v>
      </c>
      <c r="C467" s="223" t="s">
        <v>368</v>
      </c>
      <c r="D467" s="223" t="s">
        <v>120</v>
      </c>
      <c r="E467" s="223"/>
      <c r="F467" s="223">
        <v>1500</v>
      </c>
      <c r="G467" s="182"/>
      <c r="H467" s="183">
        <f t="shared" si="8"/>
        <v>111950</v>
      </c>
      <c r="I467" s="223" t="s">
        <v>174</v>
      </c>
      <c r="J467" s="223" t="s">
        <v>3201</v>
      </c>
      <c r="K467" s="185"/>
    </row>
    <row r="468" spans="1:11" ht="15.6">
      <c r="A468" s="330">
        <v>45917</v>
      </c>
      <c r="B468" s="174" t="s">
        <v>3159</v>
      </c>
      <c r="C468" s="174" t="s">
        <v>151</v>
      </c>
      <c r="D468" s="223" t="s">
        <v>120</v>
      </c>
      <c r="E468" s="223">
        <v>10000</v>
      </c>
      <c r="F468" s="223"/>
      <c r="G468" s="182"/>
      <c r="H468" s="183">
        <f t="shared" si="8"/>
        <v>121950</v>
      </c>
      <c r="I468" s="223" t="s">
        <v>174</v>
      </c>
      <c r="J468" s="223" t="s">
        <v>3210</v>
      </c>
      <c r="K468" s="185"/>
    </row>
    <row r="469" spans="1:11" ht="15.6">
      <c r="A469" s="330">
        <v>45917</v>
      </c>
      <c r="B469" s="174" t="s">
        <v>3159</v>
      </c>
      <c r="C469" s="174" t="s">
        <v>151</v>
      </c>
      <c r="D469" s="223" t="s">
        <v>120</v>
      </c>
      <c r="E469" s="223"/>
      <c r="F469" s="223">
        <v>10000</v>
      </c>
      <c r="G469" s="182"/>
      <c r="H469" s="183">
        <f t="shared" si="8"/>
        <v>111950</v>
      </c>
      <c r="I469" s="223" t="s">
        <v>174</v>
      </c>
      <c r="J469" s="223" t="s">
        <v>3210</v>
      </c>
      <c r="K469" s="185"/>
    </row>
    <row r="470" spans="1:11" ht="15.6">
      <c r="A470" s="330">
        <v>45918</v>
      </c>
      <c r="B470" s="223" t="s">
        <v>3160</v>
      </c>
      <c r="C470" s="223" t="s">
        <v>173</v>
      </c>
      <c r="D470" s="223" t="s">
        <v>120</v>
      </c>
      <c r="E470" s="223"/>
      <c r="F470" s="223">
        <v>1000</v>
      </c>
      <c r="G470" s="182"/>
      <c r="H470" s="183">
        <f t="shared" si="8"/>
        <v>110950</v>
      </c>
      <c r="I470" s="223" t="s">
        <v>174</v>
      </c>
      <c r="J470" s="223" t="s">
        <v>3196</v>
      </c>
      <c r="K470" s="185"/>
    </row>
    <row r="471" spans="1:11" ht="15.6">
      <c r="A471" s="330">
        <v>45918</v>
      </c>
      <c r="B471" s="223" t="s">
        <v>4033</v>
      </c>
      <c r="C471" s="223" t="s">
        <v>173</v>
      </c>
      <c r="D471" s="223" t="s">
        <v>120</v>
      </c>
      <c r="E471" s="223"/>
      <c r="F471" s="223">
        <v>1000</v>
      </c>
      <c r="G471" s="182"/>
      <c r="H471" s="183">
        <f t="shared" si="8"/>
        <v>109950</v>
      </c>
      <c r="I471" s="223" t="s">
        <v>174</v>
      </c>
      <c r="J471" s="223" t="s">
        <v>3196</v>
      </c>
      <c r="K471" s="185"/>
    </row>
    <row r="472" spans="1:11" ht="15.6">
      <c r="A472" s="330">
        <v>45918</v>
      </c>
      <c r="B472" s="223" t="s">
        <v>3162</v>
      </c>
      <c r="C472" s="223" t="s">
        <v>173</v>
      </c>
      <c r="D472" s="223" t="s">
        <v>120</v>
      </c>
      <c r="E472" s="223"/>
      <c r="F472" s="223">
        <v>1000</v>
      </c>
      <c r="G472" s="182"/>
      <c r="H472" s="183">
        <f t="shared" si="8"/>
        <v>108950</v>
      </c>
      <c r="I472" s="223" t="s">
        <v>174</v>
      </c>
      <c r="J472" s="223" t="s">
        <v>3196</v>
      </c>
      <c r="K472" s="185"/>
    </row>
    <row r="473" spans="1:11" ht="15.6">
      <c r="A473" s="330">
        <v>45918</v>
      </c>
      <c r="B473" s="223" t="s">
        <v>3163</v>
      </c>
      <c r="C473" s="223" t="s">
        <v>173</v>
      </c>
      <c r="D473" s="223" t="s">
        <v>120</v>
      </c>
      <c r="E473" s="223"/>
      <c r="F473" s="223">
        <v>1000</v>
      </c>
      <c r="G473" s="182"/>
      <c r="H473" s="183">
        <f t="shared" si="8"/>
        <v>107950</v>
      </c>
      <c r="I473" s="223" t="s">
        <v>174</v>
      </c>
      <c r="J473" s="223" t="s">
        <v>3196</v>
      </c>
      <c r="K473" s="185"/>
    </row>
    <row r="474" spans="1:11" ht="15.6">
      <c r="A474" s="330">
        <v>45918</v>
      </c>
      <c r="B474" s="223" t="s">
        <v>3164</v>
      </c>
      <c r="C474" s="223" t="s">
        <v>173</v>
      </c>
      <c r="D474" s="223" t="s">
        <v>120</v>
      </c>
      <c r="E474" s="223"/>
      <c r="F474" s="223">
        <v>1000</v>
      </c>
      <c r="G474" s="182"/>
      <c r="H474" s="183">
        <f t="shared" si="8"/>
        <v>106950</v>
      </c>
      <c r="I474" s="223" t="s">
        <v>174</v>
      </c>
      <c r="J474" s="223" t="s">
        <v>3196</v>
      </c>
      <c r="K474" s="185"/>
    </row>
    <row r="475" spans="1:11" ht="15.6">
      <c r="A475" s="355">
        <v>45918</v>
      </c>
      <c r="B475" s="181" t="s">
        <v>3165</v>
      </c>
      <c r="C475" s="181" t="s">
        <v>987</v>
      </c>
      <c r="D475" s="181" t="s">
        <v>120</v>
      </c>
      <c r="E475" s="181">
        <v>120000</v>
      </c>
      <c r="F475" s="181"/>
      <c r="G475" s="182"/>
      <c r="H475" s="183">
        <f t="shared" si="8"/>
        <v>226950</v>
      </c>
      <c r="I475" s="223" t="s">
        <v>174</v>
      </c>
      <c r="J475" s="223" t="s">
        <v>3211</v>
      </c>
      <c r="K475" s="185"/>
    </row>
    <row r="476" spans="1:11" ht="15.6">
      <c r="A476" s="330">
        <v>45918</v>
      </c>
      <c r="B476" s="223" t="s">
        <v>3127</v>
      </c>
      <c r="C476" s="223" t="s">
        <v>368</v>
      </c>
      <c r="D476" s="223" t="s">
        <v>120</v>
      </c>
      <c r="E476" s="223"/>
      <c r="F476" s="223">
        <v>2000</v>
      </c>
      <c r="G476" s="182"/>
      <c r="H476" s="183">
        <f t="shared" si="8"/>
        <v>224950</v>
      </c>
      <c r="I476" s="223" t="s">
        <v>174</v>
      </c>
      <c r="J476" s="223" t="s">
        <v>3201</v>
      </c>
      <c r="K476" s="185"/>
    </row>
    <row r="477" spans="1:11" ht="15.6">
      <c r="A477" s="330">
        <v>45919</v>
      </c>
      <c r="B477" s="223" t="s">
        <v>3138</v>
      </c>
      <c r="C477" s="223" t="s">
        <v>173</v>
      </c>
      <c r="D477" s="223" t="s">
        <v>120</v>
      </c>
      <c r="E477" s="223"/>
      <c r="F477" s="223">
        <v>1000</v>
      </c>
      <c r="G477" s="182"/>
      <c r="H477" s="183">
        <f t="shared" si="8"/>
        <v>223950</v>
      </c>
      <c r="I477" s="223" t="s">
        <v>174</v>
      </c>
      <c r="J477" s="223" t="s">
        <v>3196</v>
      </c>
      <c r="K477" s="185"/>
    </row>
    <row r="478" spans="1:11" ht="15.6">
      <c r="A478" s="330">
        <v>45919</v>
      </c>
      <c r="B478" s="223" t="s">
        <v>3139</v>
      </c>
      <c r="C478" s="223" t="s">
        <v>1007</v>
      </c>
      <c r="D478" s="223" t="s">
        <v>120</v>
      </c>
      <c r="E478" s="223"/>
      <c r="F478" s="223">
        <v>1000</v>
      </c>
      <c r="G478" s="182"/>
      <c r="H478" s="183">
        <f t="shared" si="8"/>
        <v>222950</v>
      </c>
      <c r="I478" s="223" t="s">
        <v>174</v>
      </c>
      <c r="J478" s="223" t="s">
        <v>3196</v>
      </c>
      <c r="K478" s="185"/>
    </row>
    <row r="479" spans="1:11" ht="15.6">
      <c r="A479" s="330">
        <v>45920</v>
      </c>
      <c r="B479" s="223" t="s">
        <v>3160</v>
      </c>
      <c r="C479" s="223" t="s">
        <v>1007</v>
      </c>
      <c r="D479" s="223" t="s">
        <v>120</v>
      </c>
      <c r="E479" s="223"/>
      <c r="F479" s="223">
        <v>1000</v>
      </c>
      <c r="G479" s="182"/>
      <c r="H479" s="183">
        <f t="shared" si="8"/>
        <v>221950</v>
      </c>
      <c r="I479" s="223" t="s">
        <v>174</v>
      </c>
      <c r="J479" s="223" t="s">
        <v>3196</v>
      </c>
      <c r="K479" s="185"/>
    </row>
    <row r="480" spans="1:11" ht="15.6">
      <c r="A480" s="330">
        <v>45920</v>
      </c>
      <c r="B480" s="223" t="s">
        <v>4033</v>
      </c>
      <c r="C480" s="223" t="s">
        <v>1007</v>
      </c>
      <c r="D480" s="223" t="s">
        <v>120</v>
      </c>
      <c r="E480" s="223"/>
      <c r="F480" s="223">
        <v>2500</v>
      </c>
      <c r="G480" s="182"/>
      <c r="H480" s="183">
        <f t="shared" si="8"/>
        <v>219450</v>
      </c>
      <c r="I480" s="223" t="s">
        <v>174</v>
      </c>
      <c r="J480" s="223" t="s">
        <v>3196</v>
      </c>
      <c r="K480" s="185"/>
    </row>
    <row r="481" spans="1:11" ht="15.6">
      <c r="A481" s="330">
        <v>45920</v>
      </c>
      <c r="B481" s="223" t="s">
        <v>3166</v>
      </c>
      <c r="C481" s="223" t="s">
        <v>1007</v>
      </c>
      <c r="D481" s="223" t="s">
        <v>120</v>
      </c>
      <c r="E481" s="223"/>
      <c r="F481" s="223">
        <v>2500</v>
      </c>
      <c r="G481" s="182"/>
      <c r="H481" s="183">
        <f t="shared" si="8"/>
        <v>216950</v>
      </c>
      <c r="I481" s="223" t="s">
        <v>174</v>
      </c>
      <c r="J481" s="223" t="s">
        <v>3196</v>
      </c>
      <c r="K481" s="185"/>
    </row>
    <row r="482" spans="1:11" ht="15.6">
      <c r="A482" s="330">
        <v>45920</v>
      </c>
      <c r="B482" s="223" t="s">
        <v>3167</v>
      </c>
      <c r="C482" s="223" t="s">
        <v>1007</v>
      </c>
      <c r="D482" s="223" t="s">
        <v>120</v>
      </c>
      <c r="E482" s="223"/>
      <c r="F482" s="223">
        <v>1000</v>
      </c>
      <c r="G482" s="182"/>
      <c r="H482" s="183">
        <f t="shared" si="8"/>
        <v>215950</v>
      </c>
      <c r="I482" s="223" t="s">
        <v>174</v>
      </c>
      <c r="J482" s="223" t="s">
        <v>3196</v>
      </c>
      <c r="K482" s="185"/>
    </row>
    <row r="483" spans="1:11" ht="15.6">
      <c r="A483" s="330">
        <v>45921</v>
      </c>
      <c r="B483" s="223" t="s">
        <v>3160</v>
      </c>
      <c r="C483" s="223" t="s">
        <v>1007</v>
      </c>
      <c r="D483" s="223" t="s">
        <v>120</v>
      </c>
      <c r="E483" s="223"/>
      <c r="F483" s="223">
        <v>1000</v>
      </c>
      <c r="G483" s="182"/>
      <c r="H483" s="183">
        <f t="shared" si="8"/>
        <v>214950</v>
      </c>
      <c r="I483" s="223" t="s">
        <v>174</v>
      </c>
      <c r="J483" s="223" t="s">
        <v>3196</v>
      </c>
      <c r="K483" s="185"/>
    </row>
    <row r="484" spans="1:11" ht="15.6">
      <c r="A484" s="330">
        <v>45921</v>
      </c>
      <c r="B484" s="223" t="s">
        <v>3161</v>
      </c>
      <c r="C484" s="223" t="s">
        <v>1007</v>
      </c>
      <c r="D484" s="223" t="s">
        <v>120</v>
      </c>
      <c r="E484" s="223"/>
      <c r="F484" s="223">
        <v>2500</v>
      </c>
      <c r="G484" s="182"/>
      <c r="H484" s="183">
        <f t="shared" si="8"/>
        <v>212450</v>
      </c>
      <c r="I484" s="223" t="s">
        <v>174</v>
      </c>
      <c r="J484" s="223" t="s">
        <v>3196</v>
      </c>
      <c r="K484" s="185"/>
    </row>
    <row r="485" spans="1:11" ht="15.6">
      <c r="A485" s="330">
        <v>45921</v>
      </c>
      <c r="B485" s="223" t="s">
        <v>3166</v>
      </c>
      <c r="C485" s="223" t="s">
        <v>1007</v>
      </c>
      <c r="D485" s="223" t="s">
        <v>120</v>
      </c>
      <c r="E485" s="223"/>
      <c r="F485" s="223">
        <v>2500</v>
      </c>
      <c r="G485" s="182"/>
      <c r="H485" s="183">
        <f t="shared" si="8"/>
        <v>209950</v>
      </c>
      <c r="I485" s="223" t="s">
        <v>174</v>
      </c>
      <c r="J485" s="223" t="s">
        <v>3196</v>
      </c>
      <c r="K485" s="185"/>
    </row>
    <row r="486" spans="1:11" ht="15.6">
      <c r="A486" s="330">
        <v>45921</v>
      </c>
      <c r="B486" s="223" t="s">
        <v>3168</v>
      </c>
      <c r="C486" s="223" t="s">
        <v>1007</v>
      </c>
      <c r="D486" s="223" t="s">
        <v>120</v>
      </c>
      <c r="E486" s="223"/>
      <c r="F486" s="223">
        <v>1000</v>
      </c>
      <c r="G486" s="182"/>
      <c r="H486" s="183">
        <f t="shared" si="8"/>
        <v>208950</v>
      </c>
      <c r="I486" s="223" t="s">
        <v>174</v>
      </c>
      <c r="J486" s="223" t="s">
        <v>3196</v>
      </c>
      <c r="K486" s="185"/>
    </row>
    <row r="487" spans="1:11" ht="15.6">
      <c r="A487" s="330">
        <v>45921</v>
      </c>
      <c r="B487" s="223" t="s">
        <v>3169</v>
      </c>
      <c r="C487" s="223" t="s">
        <v>368</v>
      </c>
      <c r="D487" s="223" t="s">
        <v>120</v>
      </c>
      <c r="E487" s="223"/>
      <c r="F487" s="223">
        <v>1500</v>
      </c>
      <c r="G487" s="182"/>
      <c r="H487" s="183">
        <f t="shared" si="8"/>
        <v>207450</v>
      </c>
      <c r="I487" s="223" t="s">
        <v>174</v>
      </c>
      <c r="J487" s="223" t="s">
        <v>3201</v>
      </c>
      <c r="K487" s="185"/>
    </row>
    <row r="488" spans="1:11" ht="15.6">
      <c r="A488" s="330">
        <v>45922</v>
      </c>
      <c r="B488" s="223" t="s">
        <v>3138</v>
      </c>
      <c r="C488" s="223" t="s">
        <v>173</v>
      </c>
      <c r="D488" s="223" t="s">
        <v>120</v>
      </c>
      <c r="E488" s="223"/>
      <c r="F488" s="223">
        <v>1000</v>
      </c>
      <c r="G488" s="182"/>
      <c r="H488" s="183">
        <f t="shared" si="8"/>
        <v>206450</v>
      </c>
      <c r="I488" s="223" t="s">
        <v>174</v>
      </c>
      <c r="J488" s="223" t="s">
        <v>3196</v>
      </c>
      <c r="K488" s="185"/>
    </row>
    <row r="489" spans="1:11" ht="15.6">
      <c r="A489" s="330">
        <v>45922</v>
      </c>
      <c r="B489" s="223" t="s">
        <v>3139</v>
      </c>
      <c r="C489" s="223" t="s">
        <v>173</v>
      </c>
      <c r="D489" s="223" t="s">
        <v>120</v>
      </c>
      <c r="E489" s="223"/>
      <c r="F489" s="223">
        <v>1000</v>
      </c>
      <c r="G489" s="182"/>
      <c r="H489" s="183">
        <f t="shared" si="8"/>
        <v>205450</v>
      </c>
      <c r="I489" s="223" t="s">
        <v>174</v>
      </c>
      <c r="J489" s="223" t="s">
        <v>3196</v>
      </c>
      <c r="K489" s="185"/>
    </row>
    <row r="490" spans="1:11" ht="15.6">
      <c r="A490" s="330">
        <v>45923</v>
      </c>
      <c r="B490" s="223" t="s">
        <v>3170</v>
      </c>
      <c r="C490" s="223" t="s">
        <v>173</v>
      </c>
      <c r="D490" s="223" t="s">
        <v>120</v>
      </c>
      <c r="E490" s="223"/>
      <c r="F490" s="223">
        <v>1000</v>
      </c>
      <c r="G490" s="182"/>
      <c r="H490" s="183">
        <f t="shared" si="8"/>
        <v>204450</v>
      </c>
      <c r="I490" s="223" t="s">
        <v>174</v>
      </c>
      <c r="J490" s="223" t="s">
        <v>3196</v>
      </c>
      <c r="K490" s="185"/>
    </row>
    <row r="491" spans="1:11" ht="15.6">
      <c r="A491" s="330">
        <v>45923</v>
      </c>
      <c r="B491" s="223" t="s">
        <v>3171</v>
      </c>
      <c r="C491" s="223" t="s">
        <v>173</v>
      </c>
      <c r="D491" s="223" t="s">
        <v>120</v>
      </c>
      <c r="E491" s="223"/>
      <c r="F491" s="223">
        <v>1000</v>
      </c>
      <c r="G491" s="182"/>
      <c r="H491" s="183">
        <f t="shared" si="8"/>
        <v>203450</v>
      </c>
      <c r="I491" s="223" t="s">
        <v>174</v>
      </c>
      <c r="J491" s="223" t="s">
        <v>3196</v>
      </c>
      <c r="K491" s="185"/>
    </row>
    <row r="492" spans="1:11" ht="15.6">
      <c r="A492" s="330">
        <v>45923</v>
      </c>
      <c r="B492" s="223" t="s">
        <v>3172</v>
      </c>
      <c r="C492" s="223" t="s">
        <v>173</v>
      </c>
      <c r="D492" s="223" t="s">
        <v>120</v>
      </c>
      <c r="E492" s="223"/>
      <c r="F492" s="223">
        <v>1000</v>
      </c>
      <c r="G492" s="182"/>
      <c r="H492" s="183">
        <f t="shared" si="8"/>
        <v>202450</v>
      </c>
      <c r="I492" s="223" t="s">
        <v>174</v>
      </c>
      <c r="J492" s="223" t="s">
        <v>3196</v>
      </c>
      <c r="K492" s="185"/>
    </row>
    <row r="493" spans="1:11" ht="15.6">
      <c r="A493" s="330">
        <v>45923</v>
      </c>
      <c r="B493" s="223" t="s">
        <v>3173</v>
      </c>
      <c r="C493" s="223" t="s">
        <v>173</v>
      </c>
      <c r="D493" s="223" t="s">
        <v>120</v>
      </c>
      <c r="E493" s="223"/>
      <c r="F493" s="223">
        <v>1000</v>
      </c>
      <c r="G493" s="182"/>
      <c r="H493" s="183">
        <f t="shared" si="8"/>
        <v>201450</v>
      </c>
      <c r="I493" s="223" t="s">
        <v>174</v>
      </c>
      <c r="J493" s="223" t="s">
        <v>3196</v>
      </c>
      <c r="K493" s="185"/>
    </row>
    <row r="494" spans="1:11" ht="15.6">
      <c r="A494" s="330">
        <v>45923</v>
      </c>
      <c r="B494" s="223" t="s">
        <v>3174</v>
      </c>
      <c r="C494" s="223" t="s">
        <v>173</v>
      </c>
      <c r="D494" s="223" t="s">
        <v>120</v>
      </c>
      <c r="E494" s="223"/>
      <c r="F494" s="223">
        <v>1000</v>
      </c>
      <c r="G494" s="182"/>
      <c r="H494" s="183">
        <f t="shared" si="8"/>
        <v>200450</v>
      </c>
      <c r="I494" s="223" t="s">
        <v>174</v>
      </c>
      <c r="J494" s="223" t="s">
        <v>3196</v>
      </c>
      <c r="K494" s="185"/>
    </row>
    <row r="495" spans="1:11" ht="15.6">
      <c r="A495" s="330">
        <v>45923</v>
      </c>
      <c r="B495" s="223" t="s">
        <v>3175</v>
      </c>
      <c r="C495" s="223" t="s">
        <v>173</v>
      </c>
      <c r="D495" s="223" t="s">
        <v>120</v>
      </c>
      <c r="E495" s="223"/>
      <c r="F495" s="223">
        <v>1000</v>
      </c>
      <c r="G495" s="182"/>
      <c r="H495" s="183">
        <f t="shared" si="8"/>
        <v>199450</v>
      </c>
      <c r="I495" s="223" t="s">
        <v>174</v>
      </c>
      <c r="J495" s="223" t="s">
        <v>3196</v>
      </c>
      <c r="K495" s="185"/>
    </row>
    <row r="496" spans="1:11" ht="15.6">
      <c r="A496" s="330">
        <v>45923</v>
      </c>
      <c r="B496" s="223" t="s">
        <v>3117</v>
      </c>
      <c r="C496" s="223" t="s">
        <v>987</v>
      </c>
      <c r="D496" s="223" t="s">
        <v>120</v>
      </c>
      <c r="E496" s="223">
        <v>50000</v>
      </c>
      <c r="F496" s="223"/>
      <c r="G496" s="182"/>
      <c r="H496" s="183">
        <f t="shared" si="8"/>
        <v>249450</v>
      </c>
      <c r="I496" s="223" t="s">
        <v>174</v>
      </c>
      <c r="J496" s="223" t="s">
        <v>3212</v>
      </c>
      <c r="K496" s="185"/>
    </row>
    <row r="497" spans="1:11" ht="15.6">
      <c r="A497" s="330">
        <v>45923</v>
      </c>
      <c r="B497" s="223" t="s">
        <v>3176</v>
      </c>
      <c r="C497" s="223" t="s">
        <v>368</v>
      </c>
      <c r="D497" s="223" t="s">
        <v>120</v>
      </c>
      <c r="E497" s="223"/>
      <c r="F497" s="223">
        <v>11500</v>
      </c>
      <c r="G497" s="182"/>
      <c r="H497" s="183">
        <f t="shared" si="8"/>
        <v>237950</v>
      </c>
      <c r="I497" s="223" t="s">
        <v>174</v>
      </c>
      <c r="J497" s="223" t="s">
        <v>3201</v>
      </c>
      <c r="K497" s="185"/>
    </row>
    <row r="498" spans="1:11" ht="15.6">
      <c r="A498" s="330">
        <v>45924</v>
      </c>
      <c r="B498" s="223" t="s">
        <v>4028</v>
      </c>
      <c r="C498" s="223" t="s">
        <v>173</v>
      </c>
      <c r="D498" s="223" t="s">
        <v>120</v>
      </c>
      <c r="E498" s="223"/>
      <c r="F498" s="223">
        <v>1000</v>
      </c>
      <c r="G498" s="182"/>
      <c r="H498" s="183">
        <f t="shared" ref="H498:H523" si="9">H497+E498-F498</f>
        <v>236950</v>
      </c>
      <c r="I498" s="223" t="s">
        <v>174</v>
      </c>
      <c r="J498" s="223" t="s">
        <v>3196</v>
      </c>
      <c r="K498" s="185"/>
    </row>
    <row r="499" spans="1:11" ht="15.6">
      <c r="A499" s="330">
        <v>45924</v>
      </c>
      <c r="B499" s="223" t="s">
        <v>3139</v>
      </c>
      <c r="C499" s="223" t="s">
        <v>173</v>
      </c>
      <c r="D499" s="223" t="s">
        <v>120</v>
      </c>
      <c r="E499" s="223"/>
      <c r="F499" s="223">
        <v>1000</v>
      </c>
      <c r="G499" s="182"/>
      <c r="H499" s="183">
        <f t="shared" si="9"/>
        <v>235950</v>
      </c>
      <c r="I499" s="223" t="s">
        <v>174</v>
      </c>
      <c r="J499" s="223" t="s">
        <v>3196</v>
      </c>
      <c r="K499" s="185"/>
    </row>
    <row r="500" spans="1:11" ht="15.6">
      <c r="A500" s="330">
        <v>45925</v>
      </c>
      <c r="B500" s="223" t="s">
        <v>3138</v>
      </c>
      <c r="C500" s="223" t="s">
        <v>173</v>
      </c>
      <c r="D500" s="223" t="s">
        <v>120</v>
      </c>
      <c r="E500" s="223"/>
      <c r="F500" s="223">
        <v>1000</v>
      </c>
      <c r="G500" s="182"/>
      <c r="H500" s="183">
        <f t="shared" si="9"/>
        <v>234950</v>
      </c>
      <c r="I500" s="223" t="s">
        <v>174</v>
      </c>
      <c r="J500" s="223" t="s">
        <v>3196</v>
      </c>
      <c r="K500" s="185"/>
    </row>
    <row r="501" spans="1:11" ht="15.6">
      <c r="A501" s="330">
        <v>45925</v>
      </c>
      <c r="B501" s="223" t="s">
        <v>3139</v>
      </c>
      <c r="C501" s="223" t="s">
        <v>173</v>
      </c>
      <c r="D501" s="223" t="s">
        <v>120</v>
      </c>
      <c r="E501" s="223"/>
      <c r="F501" s="223">
        <v>1000</v>
      </c>
      <c r="G501" s="182"/>
      <c r="H501" s="183">
        <f t="shared" si="9"/>
        <v>233950</v>
      </c>
      <c r="I501" s="223" t="s">
        <v>174</v>
      </c>
      <c r="J501" s="223" t="s">
        <v>3196</v>
      </c>
      <c r="K501" s="185"/>
    </row>
    <row r="502" spans="1:11" ht="15.6">
      <c r="A502" s="330">
        <v>45926</v>
      </c>
      <c r="B502" s="223" t="s">
        <v>3165</v>
      </c>
      <c r="C502" s="223" t="s">
        <v>987</v>
      </c>
      <c r="D502" s="223" t="s">
        <v>120</v>
      </c>
      <c r="E502" s="223">
        <v>40000</v>
      </c>
      <c r="F502" s="223"/>
      <c r="G502" s="182"/>
      <c r="H502" s="183">
        <f t="shared" si="9"/>
        <v>273950</v>
      </c>
      <c r="I502" s="223" t="s">
        <v>174</v>
      </c>
      <c r="J502" s="223" t="s">
        <v>3213</v>
      </c>
      <c r="K502" s="185"/>
    </row>
    <row r="503" spans="1:11" ht="15.6">
      <c r="A503" s="330">
        <v>45926</v>
      </c>
      <c r="B503" s="223" t="s">
        <v>3138</v>
      </c>
      <c r="C503" s="223" t="s">
        <v>173</v>
      </c>
      <c r="D503" s="223" t="s">
        <v>120</v>
      </c>
      <c r="E503" s="223"/>
      <c r="F503" s="223">
        <v>1000</v>
      </c>
      <c r="G503" s="182"/>
      <c r="H503" s="183">
        <f t="shared" si="9"/>
        <v>272950</v>
      </c>
      <c r="I503" s="223" t="s">
        <v>174</v>
      </c>
      <c r="J503" s="223" t="s">
        <v>3196</v>
      </c>
      <c r="K503" s="185"/>
    </row>
    <row r="504" spans="1:11" ht="15.6">
      <c r="A504" s="330">
        <v>45926</v>
      </c>
      <c r="B504" s="223" t="s">
        <v>3139</v>
      </c>
      <c r="C504" s="223" t="s">
        <v>173</v>
      </c>
      <c r="D504" s="223" t="s">
        <v>120</v>
      </c>
      <c r="E504" s="223"/>
      <c r="F504" s="223">
        <v>1000</v>
      </c>
      <c r="G504" s="182"/>
      <c r="H504" s="183">
        <f t="shared" si="9"/>
        <v>271950</v>
      </c>
      <c r="I504" s="223" t="s">
        <v>174</v>
      </c>
      <c r="J504" s="223" t="s">
        <v>3196</v>
      </c>
      <c r="K504" s="185"/>
    </row>
    <row r="505" spans="1:11" ht="15.6">
      <c r="A505" s="330">
        <v>45927</v>
      </c>
      <c r="B505" s="223" t="s">
        <v>3138</v>
      </c>
      <c r="C505" s="223" t="s">
        <v>173</v>
      </c>
      <c r="D505" s="223" t="s">
        <v>120</v>
      </c>
      <c r="E505" s="223"/>
      <c r="F505" s="223">
        <v>1000</v>
      </c>
      <c r="G505" s="182"/>
      <c r="H505" s="183">
        <f t="shared" si="9"/>
        <v>270950</v>
      </c>
      <c r="I505" s="223" t="s">
        <v>174</v>
      </c>
      <c r="J505" s="223" t="s">
        <v>3196</v>
      </c>
      <c r="K505" s="185"/>
    </row>
    <row r="506" spans="1:11" ht="15.6">
      <c r="A506" s="330">
        <v>45927</v>
      </c>
      <c r="B506" s="223" t="s">
        <v>3139</v>
      </c>
      <c r="C506" s="223" t="s">
        <v>173</v>
      </c>
      <c r="D506" s="223" t="s">
        <v>120</v>
      </c>
      <c r="E506" s="223"/>
      <c r="F506" s="223">
        <v>1000</v>
      </c>
      <c r="G506" s="182"/>
      <c r="H506" s="183">
        <f t="shared" si="9"/>
        <v>269950</v>
      </c>
      <c r="I506" s="223" t="s">
        <v>174</v>
      </c>
      <c r="J506" s="223" t="s">
        <v>3196</v>
      </c>
      <c r="K506" s="185"/>
    </row>
    <row r="507" spans="1:11" ht="15.6">
      <c r="A507" s="330">
        <v>45928</v>
      </c>
      <c r="B507" s="223" t="s">
        <v>3177</v>
      </c>
      <c r="C507" s="223" t="s">
        <v>173</v>
      </c>
      <c r="D507" s="223" t="s">
        <v>120</v>
      </c>
      <c r="E507" s="223"/>
      <c r="F507" s="223">
        <v>1000</v>
      </c>
      <c r="G507" s="182"/>
      <c r="H507" s="183">
        <f t="shared" si="9"/>
        <v>268950</v>
      </c>
      <c r="I507" s="223" t="s">
        <v>174</v>
      </c>
      <c r="J507" s="223" t="s">
        <v>3196</v>
      </c>
      <c r="K507" s="185"/>
    </row>
    <row r="508" spans="1:11" ht="15.6">
      <c r="A508" s="330">
        <v>45928</v>
      </c>
      <c r="B508" s="223" t="s">
        <v>3178</v>
      </c>
      <c r="C508" s="223" t="s">
        <v>173</v>
      </c>
      <c r="D508" s="223" t="s">
        <v>120</v>
      </c>
      <c r="E508" s="223"/>
      <c r="F508" s="223">
        <v>1000</v>
      </c>
      <c r="G508" s="182"/>
      <c r="H508" s="183">
        <f t="shared" si="9"/>
        <v>267950</v>
      </c>
      <c r="I508" s="223" t="s">
        <v>174</v>
      </c>
      <c r="J508" s="223" t="s">
        <v>3196</v>
      </c>
      <c r="K508" s="185"/>
    </row>
    <row r="509" spans="1:11" ht="15.6">
      <c r="A509" s="330">
        <v>45928</v>
      </c>
      <c r="B509" s="223" t="s">
        <v>3179</v>
      </c>
      <c r="C509" s="223" t="s">
        <v>173</v>
      </c>
      <c r="D509" s="223" t="s">
        <v>120</v>
      </c>
      <c r="E509" s="223"/>
      <c r="F509" s="223">
        <v>1000</v>
      </c>
      <c r="G509" s="182"/>
      <c r="H509" s="183">
        <f t="shared" si="9"/>
        <v>266950</v>
      </c>
      <c r="I509" s="223" t="s">
        <v>174</v>
      </c>
      <c r="J509" s="223" t="s">
        <v>3196</v>
      </c>
      <c r="K509" s="185"/>
    </row>
    <row r="510" spans="1:11" ht="15.6">
      <c r="A510" s="330">
        <v>45928</v>
      </c>
      <c r="B510" s="223" t="s">
        <v>3180</v>
      </c>
      <c r="C510" s="223" t="s">
        <v>173</v>
      </c>
      <c r="D510" s="223" t="s">
        <v>120</v>
      </c>
      <c r="E510" s="223"/>
      <c r="F510" s="223">
        <v>1000</v>
      </c>
      <c r="G510" s="182"/>
      <c r="H510" s="183">
        <f t="shared" si="9"/>
        <v>265950</v>
      </c>
      <c r="I510" s="223" t="s">
        <v>174</v>
      </c>
      <c r="J510" s="223" t="s">
        <v>3196</v>
      </c>
      <c r="K510" s="185"/>
    </row>
    <row r="511" spans="1:11" ht="15.6">
      <c r="A511" s="330">
        <v>45928</v>
      </c>
      <c r="B511" s="223" t="s">
        <v>3181</v>
      </c>
      <c r="C511" s="223" t="s">
        <v>173</v>
      </c>
      <c r="D511" s="223" t="s">
        <v>120</v>
      </c>
      <c r="E511" s="223"/>
      <c r="F511" s="223">
        <v>1000</v>
      </c>
      <c r="G511" s="182"/>
      <c r="H511" s="183">
        <f t="shared" si="9"/>
        <v>264950</v>
      </c>
      <c r="I511" s="223" t="s">
        <v>174</v>
      </c>
      <c r="J511" s="223" t="s">
        <v>3196</v>
      </c>
      <c r="K511" s="185"/>
    </row>
    <row r="512" spans="1:11" ht="15.6">
      <c r="A512" s="330">
        <v>45928</v>
      </c>
      <c r="B512" s="223" t="s">
        <v>3182</v>
      </c>
      <c r="C512" s="223" t="s">
        <v>368</v>
      </c>
      <c r="D512" s="223" t="s">
        <v>120</v>
      </c>
      <c r="E512" s="223"/>
      <c r="F512" s="223">
        <v>3500</v>
      </c>
      <c r="G512" s="182"/>
      <c r="H512" s="183">
        <f t="shared" si="9"/>
        <v>261450</v>
      </c>
      <c r="I512" s="223" t="s">
        <v>174</v>
      </c>
      <c r="J512" s="223" t="s">
        <v>3201</v>
      </c>
      <c r="K512" s="185"/>
    </row>
    <row r="513" spans="1:11" ht="15.6">
      <c r="A513" s="330">
        <v>45929</v>
      </c>
      <c r="B513" s="223" t="s">
        <v>3183</v>
      </c>
      <c r="C513" s="223" t="s">
        <v>173</v>
      </c>
      <c r="D513" s="223" t="s">
        <v>120</v>
      </c>
      <c r="E513" s="223"/>
      <c r="F513" s="223">
        <v>1000</v>
      </c>
      <c r="G513" s="182"/>
      <c r="H513" s="183">
        <f t="shared" si="9"/>
        <v>260450</v>
      </c>
      <c r="I513" s="223" t="s">
        <v>174</v>
      </c>
      <c r="J513" s="223" t="s">
        <v>3196</v>
      </c>
      <c r="K513" s="185"/>
    </row>
    <row r="514" spans="1:11" ht="15.6">
      <c r="A514" s="330">
        <v>45929</v>
      </c>
      <c r="B514" s="223" t="s">
        <v>3184</v>
      </c>
      <c r="C514" s="223" t="s">
        <v>173</v>
      </c>
      <c r="D514" s="223" t="s">
        <v>120</v>
      </c>
      <c r="E514" s="223"/>
      <c r="F514" s="223">
        <v>1000</v>
      </c>
      <c r="G514" s="182"/>
      <c r="H514" s="183">
        <f t="shared" si="9"/>
        <v>259450</v>
      </c>
      <c r="I514" s="223" t="s">
        <v>174</v>
      </c>
      <c r="J514" s="223" t="s">
        <v>3196</v>
      </c>
      <c r="K514" s="185"/>
    </row>
    <row r="515" spans="1:11" ht="15.6">
      <c r="A515" s="330">
        <v>45929</v>
      </c>
      <c r="B515" s="223" t="s">
        <v>3185</v>
      </c>
      <c r="C515" s="223" t="s">
        <v>173</v>
      </c>
      <c r="D515" s="223" t="s">
        <v>120</v>
      </c>
      <c r="E515" s="223"/>
      <c r="F515" s="223">
        <v>1000</v>
      </c>
      <c r="G515" s="182"/>
      <c r="H515" s="183">
        <f t="shared" si="9"/>
        <v>258450</v>
      </c>
      <c r="I515" s="223" t="s">
        <v>174</v>
      </c>
      <c r="J515" s="223" t="s">
        <v>3196</v>
      </c>
      <c r="K515" s="185"/>
    </row>
    <row r="516" spans="1:11" ht="15.6">
      <c r="A516" s="330">
        <v>45929</v>
      </c>
      <c r="B516" s="223" t="s">
        <v>3186</v>
      </c>
      <c r="C516" s="223" t="s">
        <v>173</v>
      </c>
      <c r="D516" s="223" t="s">
        <v>120</v>
      </c>
      <c r="E516" s="223"/>
      <c r="F516" s="223">
        <v>1000</v>
      </c>
      <c r="G516" s="182"/>
      <c r="H516" s="183">
        <f t="shared" si="9"/>
        <v>257450</v>
      </c>
      <c r="I516" s="223" t="s">
        <v>174</v>
      </c>
      <c r="J516" s="223" t="s">
        <v>3196</v>
      </c>
      <c r="K516" s="185"/>
    </row>
    <row r="517" spans="1:11" ht="15.6">
      <c r="A517" s="330">
        <v>45929</v>
      </c>
      <c r="B517" s="223" t="s">
        <v>3187</v>
      </c>
      <c r="C517" s="223" t="s">
        <v>173</v>
      </c>
      <c r="D517" s="223" t="s">
        <v>120</v>
      </c>
      <c r="E517" s="223"/>
      <c r="F517" s="223">
        <v>1000</v>
      </c>
      <c r="G517" s="182"/>
      <c r="H517" s="183">
        <f t="shared" si="9"/>
        <v>256450</v>
      </c>
      <c r="I517" s="223" t="s">
        <v>174</v>
      </c>
      <c r="J517" s="223" t="s">
        <v>3196</v>
      </c>
      <c r="K517" s="185"/>
    </row>
    <row r="518" spans="1:11" ht="15.6">
      <c r="A518" s="330">
        <v>45929</v>
      </c>
      <c r="B518" s="223" t="s">
        <v>3188</v>
      </c>
      <c r="C518" s="223" t="s">
        <v>368</v>
      </c>
      <c r="D518" s="223" t="s">
        <v>120</v>
      </c>
      <c r="E518" s="223"/>
      <c r="F518" s="223">
        <v>12500</v>
      </c>
      <c r="G518" s="182"/>
      <c r="H518" s="183">
        <f t="shared" si="9"/>
        <v>243950</v>
      </c>
      <c r="I518" s="223" t="s">
        <v>174</v>
      </c>
      <c r="J518" s="223" t="s">
        <v>3201</v>
      </c>
      <c r="K518" s="185"/>
    </row>
    <row r="519" spans="1:11" ht="15.6">
      <c r="A519" s="330">
        <v>45929</v>
      </c>
      <c r="B519" s="223" t="s">
        <v>2489</v>
      </c>
      <c r="C519" s="223" t="s">
        <v>987</v>
      </c>
      <c r="D519" s="223" t="s">
        <v>120</v>
      </c>
      <c r="E519" s="223">
        <v>185000</v>
      </c>
      <c r="F519" s="223"/>
      <c r="G519" s="182"/>
      <c r="H519" s="183">
        <f t="shared" si="9"/>
        <v>428950</v>
      </c>
      <c r="I519" s="223" t="s">
        <v>174</v>
      </c>
      <c r="J519" s="223" t="s">
        <v>3214</v>
      </c>
      <c r="K519" s="185"/>
    </row>
    <row r="520" spans="1:11" ht="15.6">
      <c r="A520" s="330">
        <v>45929</v>
      </c>
      <c r="B520" s="174" t="s">
        <v>3189</v>
      </c>
      <c r="C520" s="174" t="s">
        <v>151</v>
      </c>
      <c r="D520" s="223" t="s">
        <v>120</v>
      </c>
      <c r="E520" s="223">
        <v>10000</v>
      </c>
      <c r="F520" s="223"/>
      <c r="G520" s="182"/>
      <c r="H520" s="183">
        <f t="shared" si="9"/>
        <v>438950</v>
      </c>
      <c r="I520" s="223" t="s">
        <v>174</v>
      </c>
      <c r="J520" s="223" t="s">
        <v>3215</v>
      </c>
      <c r="K520" s="185"/>
    </row>
    <row r="521" spans="1:11" ht="15.6">
      <c r="A521" s="330">
        <v>45929</v>
      </c>
      <c r="B521" s="174" t="s">
        <v>3189</v>
      </c>
      <c r="C521" s="174" t="s">
        <v>151</v>
      </c>
      <c r="D521" s="223" t="s">
        <v>120</v>
      </c>
      <c r="E521" s="223"/>
      <c r="F521" s="223">
        <v>10000</v>
      </c>
      <c r="G521" s="182"/>
      <c r="H521" s="183">
        <f t="shared" si="9"/>
        <v>428950</v>
      </c>
      <c r="I521" s="223" t="s">
        <v>174</v>
      </c>
      <c r="J521" s="223" t="s">
        <v>3215</v>
      </c>
      <c r="K521" s="185"/>
    </row>
    <row r="522" spans="1:11" ht="15.6">
      <c r="A522" s="330">
        <v>45930</v>
      </c>
      <c r="B522" s="223" t="s">
        <v>3190</v>
      </c>
      <c r="C522" s="223" t="s">
        <v>173</v>
      </c>
      <c r="D522" s="223" t="s">
        <v>120</v>
      </c>
      <c r="E522" s="223"/>
      <c r="F522" s="223">
        <v>1000</v>
      </c>
      <c r="G522" s="182"/>
      <c r="H522" s="183">
        <f t="shared" si="9"/>
        <v>427950</v>
      </c>
      <c r="I522" s="223" t="s">
        <v>174</v>
      </c>
      <c r="J522" s="223" t="s">
        <v>3196</v>
      </c>
      <c r="K522" s="185"/>
    </row>
    <row r="523" spans="1:11" ht="15.6">
      <c r="A523" s="330">
        <v>45930</v>
      </c>
      <c r="B523" s="223" t="s">
        <v>3191</v>
      </c>
      <c r="C523" s="223" t="s">
        <v>173</v>
      </c>
      <c r="D523" s="223" t="s">
        <v>120</v>
      </c>
      <c r="E523" s="223"/>
      <c r="F523" s="223">
        <v>1000</v>
      </c>
      <c r="G523" s="182"/>
      <c r="H523" s="183">
        <f t="shared" si="9"/>
        <v>426950</v>
      </c>
      <c r="I523" s="223" t="s">
        <v>174</v>
      </c>
      <c r="J523" s="223" t="s">
        <v>3196</v>
      </c>
      <c r="K523" s="185"/>
    </row>
    <row r="524" spans="1:11" ht="15.6">
      <c r="A524" s="177"/>
      <c r="B524" s="185"/>
      <c r="C524" s="185"/>
      <c r="D524" s="185"/>
      <c r="E524" s="198">
        <f>SUM(E369:E523)</f>
        <v>909000</v>
      </c>
      <c r="F524" s="198">
        <f>SUM(F369:F523)</f>
        <v>636000</v>
      </c>
      <c r="G524" s="198"/>
      <c r="H524" s="206">
        <f>+E524-F524+H368</f>
        <v>426950</v>
      </c>
      <c r="I524" s="185"/>
      <c r="J524" s="185"/>
      <c r="K524" s="185"/>
    </row>
    <row r="525" spans="1:11" ht="15.6">
      <c r="A525" s="177"/>
      <c r="B525" s="185"/>
      <c r="C525" s="185"/>
      <c r="D525" s="185"/>
      <c r="E525" s="198"/>
      <c r="F525" s="198"/>
      <c r="G525" s="198"/>
      <c r="H525" s="206"/>
      <c r="I525" s="185"/>
      <c r="J525" s="185"/>
      <c r="K525" s="185"/>
    </row>
    <row r="526" spans="1:11" ht="15.6">
      <c r="A526" s="187"/>
      <c r="B526" s="185"/>
      <c r="C526" s="188" t="s">
        <v>454</v>
      </c>
      <c r="D526" s="185"/>
      <c r="E526" s="189"/>
      <c r="F526" s="189"/>
      <c r="G526" s="189"/>
      <c r="H526" s="190"/>
      <c r="I526" s="185"/>
      <c r="J526" s="185"/>
      <c r="K526" s="185"/>
    </row>
    <row r="527" spans="1:11" ht="15.6">
      <c r="A527" s="187"/>
      <c r="B527" s="185"/>
      <c r="C527" s="185"/>
      <c r="D527" s="185"/>
      <c r="E527" s="189"/>
      <c r="F527" s="189"/>
      <c r="G527" s="189"/>
      <c r="H527" s="190"/>
      <c r="I527" s="185"/>
      <c r="J527" s="185"/>
      <c r="K527" s="185"/>
    </row>
    <row r="528" spans="1:11" ht="15.6">
      <c r="A528" s="191" t="s">
        <v>0</v>
      </c>
      <c r="B528" s="192" t="s">
        <v>445</v>
      </c>
      <c r="C528" s="192" t="s">
        <v>446</v>
      </c>
      <c r="D528" s="192" t="s">
        <v>447</v>
      </c>
      <c r="E528" s="193" t="s">
        <v>448</v>
      </c>
      <c r="F528" s="193" t="s">
        <v>449</v>
      </c>
      <c r="G528" s="193"/>
      <c r="H528" s="194" t="s">
        <v>30</v>
      </c>
      <c r="I528" s="192" t="s">
        <v>450</v>
      </c>
      <c r="J528" s="192" t="s">
        <v>451</v>
      </c>
      <c r="K528" s="185"/>
    </row>
    <row r="529" spans="1:11" ht="15.6">
      <c r="A529" s="146">
        <v>45901</v>
      </c>
      <c r="B529" s="179" t="s">
        <v>2878</v>
      </c>
      <c r="C529" s="179"/>
      <c r="D529" s="179"/>
      <c r="E529" s="182"/>
      <c r="F529" s="182"/>
      <c r="G529" s="182"/>
      <c r="H529" s="182">
        <v>12300</v>
      </c>
      <c r="I529" s="183" t="s">
        <v>316</v>
      </c>
      <c r="J529" s="179"/>
      <c r="K529" s="185"/>
    </row>
    <row r="530" spans="1:11" ht="15.6">
      <c r="A530" s="434">
        <v>45901</v>
      </c>
      <c r="B530" s="356" t="s">
        <v>3216</v>
      </c>
      <c r="C530" s="356" t="s">
        <v>151</v>
      </c>
      <c r="D530" s="356" t="s">
        <v>120</v>
      </c>
      <c r="E530" s="435">
        <v>10000</v>
      </c>
      <c r="F530" s="436"/>
      <c r="G530" s="182"/>
      <c r="H530" s="182">
        <f>H529+E530-F530</f>
        <v>22300</v>
      </c>
      <c r="I530" s="436" t="s">
        <v>316</v>
      </c>
      <c r="J530" s="437" t="s">
        <v>3258</v>
      </c>
      <c r="K530" s="185"/>
    </row>
    <row r="531" spans="1:11" ht="15.6">
      <c r="A531" s="434">
        <v>45901</v>
      </c>
      <c r="B531" s="356" t="s">
        <v>3216</v>
      </c>
      <c r="C531" s="356" t="s">
        <v>151</v>
      </c>
      <c r="D531" s="356" t="s">
        <v>120</v>
      </c>
      <c r="E531" s="437"/>
      <c r="F531" s="438">
        <v>10000</v>
      </c>
      <c r="G531" s="182"/>
      <c r="H531" s="182">
        <f t="shared" ref="H531:H594" si="10">H530+E531-F531</f>
        <v>12300</v>
      </c>
      <c r="I531" s="436" t="s">
        <v>316</v>
      </c>
      <c r="J531" s="437" t="s">
        <v>3258</v>
      </c>
      <c r="K531" s="185"/>
    </row>
    <row r="532" spans="1:11" ht="15.6">
      <c r="A532" s="439">
        <v>45903</v>
      </c>
      <c r="B532" s="356" t="s">
        <v>2513</v>
      </c>
      <c r="C532" s="356" t="s">
        <v>123</v>
      </c>
      <c r="D532" s="356" t="s">
        <v>120</v>
      </c>
      <c r="E532" s="357">
        <v>100000</v>
      </c>
      <c r="F532" s="357"/>
      <c r="G532" s="182"/>
      <c r="H532" s="182">
        <f t="shared" si="10"/>
        <v>112300</v>
      </c>
      <c r="I532" s="356" t="s">
        <v>316</v>
      </c>
      <c r="J532" s="357" t="s">
        <v>3259</v>
      </c>
      <c r="K532" s="185"/>
    </row>
    <row r="533" spans="1:11" ht="15.6">
      <c r="A533" s="439">
        <v>45903</v>
      </c>
      <c r="B533" s="356" t="s">
        <v>3217</v>
      </c>
      <c r="C533" s="356" t="s">
        <v>173</v>
      </c>
      <c r="D533" s="356" t="s">
        <v>120</v>
      </c>
      <c r="E533" s="357"/>
      <c r="F533" s="356">
        <v>1000</v>
      </c>
      <c r="G533" s="182"/>
      <c r="H533" s="182">
        <f t="shared" si="10"/>
        <v>111300</v>
      </c>
      <c r="I533" s="356" t="s">
        <v>316</v>
      </c>
      <c r="J533" s="357" t="s">
        <v>3260</v>
      </c>
      <c r="K533" s="185"/>
    </row>
    <row r="534" spans="1:11" ht="15.6">
      <c r="A534" s="439">
        <v>45903</v>
      </c>
      <c r="B534" s="356" t="s">
        <v>3694</v>
      </c>
      <c r="C534" s="356" t="s">
        <v>173</v>
      </c>
      <c r="D534" s="356" t="s">
        <v>120</v>
      </c>
      <c r="E534" s="357"/>
      <c r="F534" s="356">
        <v>7000</v>
      </c>
      <c r="G534" s="182"/>
      <c r="H534" s="182">
        <f t="shared" si="10"/>
        <v>104300</v>
      </c>
      <c r="I534" s="356" t="s">
        <v>316</v>
      </c>
      <c r="J534" s="437" t="s">
        <v>3261</v>
      </c>
      <c r="K534" s="185"/>
    </row>
    <row r="535" spans="1:11" ht="15.6">
      <c r="A535" s="439">
        <v>45903</v>
      </c>
      <c r="B535" s="356" t="s">
        <v>4034</v>
      </c>
      <c r="C535" s="356" t="s">
        <v>173</v>
      </c>
      <c r="D535" s="356" t="s">
        <v>120</v>
      </c>
      <c r="E535" s="357"/>
      <c r="F535" s="356">
        <v>2000</v>
      </c>
      <c r="G535" s="182"/>
      <c r="H535" s="182">
        <f t="shared" si="10"/>
        <v>102300</v>
      </c>
      <c r="I535" s="356" t="s">
        <v>316</v>
      </c>
      <c r="J535" s="357" t="s">
        <v>3260</v>
      </c>
      <c r="K535" s="185"/>
    </row>
    <row r="536" spans="1:11" ht="15.6">
      <c r="A536" s="439">
        <v>45904</v>
      </c>
      <c r="B536" s="356" t="s">
        <v>3711</v>
      </c>
      <c r="C536" s="356" t="s">
        <v>176</v>
      </c>
      <c r="D536" s="356" t="s">
        <v>120</v>
      </c>
      <c r="E536" s="357"/>
      <c r="F536" s="356">
        <v>60000</v>
      </c>
      <c r="G536" s="182"/>
      <c r="H536" s="182">
        <f t="shared" si="10"/>
        <v>42300</v>
      </c>
      <c r="I536" s="356" t="s">
        <v>316</v>
      </c>
      <c r="J536" s="357" t="s">
        <v>3262</v>
      </c>
      <c r="K536" s="185"/>
    </row>
    <row r="537" spans="1:11" ht="15.6">
      <c r="A537" s="439">
        <v>45904</v>
      </c>
      <c r="B537" s="356" t="s">
        <v>4035</v>
      </c>
      <c r="C537" s="356" t="s">
        <v>173</v>
      </c>
      <c r="D537" s="356" t="s">
        <v>120</v>
      </c>
      <c r="E537" s="357"/>
      <c r="F537" s="356">
        <v>2500</v>
      </c>
      <c r="G537" s="182"/>
      <c r="H537" s="182">
        <f t="shared" si="10"/>
        <v>39800</v>
      </c>
      <c r="I537" s="356" t="s">
        <v>316</v>
      </c>
      <c r="J537" s="357" t="s">
        <v>3260</v>
      </c>
      <c r="K537" s="185"/>
    </row>
    <row r="538" spans="1:11" ht="15.6">
      <c r="A538" s="439">
        <v>45904</v>
      </c>
      <c r="B538" s="356" t="s">
        <v>4036</v>
      </c>
      <c r="C538" s="356" t="s">
        <v>173</v>
      </c>
      <c r="D538" s="356" t="s">
        <v>120</v>
      </c>
      <c r="E538" s="357"/>
      <c r="F538" s="356">
        <v>600</v>
      </c>
      <c r="G538" s="182"/>
      <c r="H538" s="182">
        <f t="shared" si="10"/>
        <v>39200</v>
      </c>
      <c r="I538" s="356" t="s">
        <v>316</v>
      </c>
      <c r="J538" s="357" t="s">
        <v>3260</v>
      </c>
      <c r="K538" s="185"/>
    </row>
    <row r="539" spans="1:11" ht="15.6">
      <c r="A539" s="439">
        <v>45905</v>
      </c>
      <c r="B539" s="356" t="s">
        <v>3219</v>
      </c>
      <c r="C539" s="356" t="s">
        <v>173</v>
      </c>
      <c r="D539" s="356" t="s">
        <v>120</v>
      </c>
      <c r="E539" s="357"/>
      <c r="F539" s="356">
        <v>700</v>
      </c>
      <c r="G539" s="182"/>
      <c r="H539" s="182">
        <f t="shared" si="10"/>
        <v>38500</v>
      </c>
      <c r="I539" s="356" t="s">
        <v>316</v>
      </c>
      <c r="J539" s="357" t="s">
        <v>3260</v>
      </c>
      <c r="K539" s="185"/>
    </row>
    <row r="540" spans="1:11" ht="15.6">
      <c r="A540" s="439">
        <v>45905</v>
      </c>
      <c r="B540" s="356" t="s">
        <v>3220</v>
      </c>
      <c r="C540" s="356" t="s">
        <v>173</v>
      </c>
      <c r="D540" s="356" t="s">
        <v>120</v>
      </c>
      <c r="E540" s="357"/>
      <c r="F540" s="356">
        <v>600</v>
      </c>
      <c r="G540" s="182"/>
      <c r="H540" s="182">
        <f t="shared" si="10"/>
        <v>37900</v>
      </c>
      <c r="I540" s="356" t="s">
        <v>316</v>
      </c>
      <c r="J540" s="357" t="s">
        <v>3260</v>
      </c>
      <c r="K540" s="185"/>
    </row>
    <row r="541" spans="1:11" ht="15.6">
      <c r="A541" s="439">
        <v>45905</v>
      </c>
      <c r="B541" s="356" t="s">
        <v>3221</v>
      </c>
      <c r="C541" s="356" t="s">
        <v>365</v>
      </c>
      <c r="D541" s="356" t="s">
        <v>120</v>
      </c>
      <c r="E541" s="357"/>
      <c r="F541" s="356">
        <v>2000</v>
      </c>
      <c r="G541" s="182"/>
      <c r="H541" s="182">
        <f t="shared" si="10"/>
        <v>35900</v>
      </c>
      <c r="I541" s="356" t="s">
        <v>316</v>
      </c>
      <c r="J541" s="357" t="s">
        <v>3263</v>
      </c>
      <c r="K541" s="185"/>
    </row>
    <row r="542" spans="1:11" ht="15.6">
      <c r="A542" s="439">
        <v>45905</v>
      </c>
      <c r="B542" s="356" t="s">
        <v>3222</v>
      </c>
      <c r="C542" s="356" t="s">
        <v>173</v>
      </c>
      <c r="D542" s="356" t="s">
        <v>120</v>
      </c>
      <c r="E542" s="357"/>
      <c r="F542" s="356">
        <v>600</v>
      </c>
      <c r="G542" s="182"/>
      <c r="H542" s="182">
        <f t="shared" si="10"/>
        <v>35300</v>
      </c>
      <c r="I542" s="356" t="s">
        <v>316</v>
      </c>
      <c r="J542" s="357" t="s">
        <v>3260</v>
      </c>
      <c r="K542" s="185"/>
    </row>
    <row r="543" spans="1:11" ht="15.6">
      <c r="A543" s="439">
        <v>45905</v>
      </c>
      <c r="B543" s="356" t="s">
        <v>2513</v>
      </c>
      <c r="C543" s="356" t="s">
        <v>123</v>
      </c>
      <c r="D543" s="356" t="s">
        <v>120</v>
      </c>
      <c r="E543" s="357">
        <v>105000</v>
      </c>
      <c r="F543" s="357"/>
      <c r="G543" s="182"/>
      <c r="H543" s="182">
        <f t="shared" si="10"/>
        <v>140300</v>
      </c>
      <c r="I543" s="356" t="s">
        <v>316</v>
      </c>
      <c r="J543" s="357" t="s">
        <v>3264</v>
      </c>
      <c r="K543" s="185"/>
    </row>
    <row r="544" spans="1:11" ht="15.6">
      <c r="A544" s="439">
        <v>45905</v>
      </c>
      <c r="B544" s="356" t="s">
        <v>3223</v>
      </c>
      <c r="C544" s="356" t="s">
        <v>173</v>
      </c>
      <c r="D544" s="356" t="s">
        <v>120</v>
      </c>
      <c r="E544" s="357"/>
      <c r="F544" s="356">
        <v>700</v>
      </c>
      <c r="G544" s="182"/>
      <c r="H544" s="182">
        <f t="shared" si="10"/>
        <v>139600</v>
      </c>
      <c r="I544" s="356" t="s">
        <v>316</v>
      </c>
      <c r="J544" s="357" t="s">
        <v>3260</v>
      </c>
      <c r="K544" s="185"/>
    </row>
    <row r="545" spans="1:11" ht="15.6">
      <c r="A545" s="439">
        <v>45905</v>
      </c>
      <c r="B545" s="356" t="s">
        <v>3224</v>
      </c>
      <c r="C545" s="356" t="s">
        <v>173</v>
      </c>
      <c r="D545" s="356" t="s">
        <v>120</v>
      </c>
      <c r="E545" s="357"/>
      <c r="F545" s="356">
        <v>700</v>
      </c>
      <c r="G545" s="182"/>
      <c r="H545" s="182">
        <f t="shared" si="10"/>
        <v>138900</v>
      </c>
      <c r="I545" s="356" t="s">
        <v>316</v>
      </c>
      <c r="J545" s="357" t="s">
        <v>3260</v>
      </c>
      <c r="K545" s="185"/>
    </row>
    <row r="546" spans="1:11" ht="15.6">
      <c r="A546" s="439">
        <v>45905</v>
      </c>
      <c r="B546" s="356" t="s">
        <v>3225</v>
      </c>
      <c r="C546" s="356" t="s">
        <v>173</v>
      </c>
      <c r="D546" s="356" t="s">
        <v>120</v>
      </c>
      <c r="E546" s="357"/>
      <c r="F546" s="356">
        <v>700</v>
      </c>
      <c r="G546" s="182"/>
      <c r="H546" s="182">
        <f t="shared" si="10"/>
        <v>138200</v>
      </c>
      <c r="I546" s="356" t="s">
        <v>316</v>
      </c>
      <c r="J546" s="357" t="s">
        <v>3260</v>
      </c>
      <c r="K546" s="185"/>
    </row>
    <row r="547" spans="1:11" ht="15.6">
      <c r="A547" s="439">
        <v>45906</v>
      </c>
      <c r="B547" s="356" t="s">
        <v>3226</v>
      </c>
      <c r="C547" s="356" t="s">
        <v>173</v>
      </c>
      <c r="D547" s="356" t="s">
        <v>120</v>
      </c>
      <c r="E547" s="357"/>
      <c r="F547" s="356">
        <v>700</v>
      </c>
      <c r="G547" s="182"/>
      <c r="H547" s="182">
        <f t="shared" si="10"/>
        <v>137500</v>
      </c>
      <c r="I547" s="356" t="s">
        <v>316</v>
      </c>
      <c r="J547" s="357" t="s">
        <v>3260</v>
      </c>
      <c r="K547" s="185"/>
    </row>
    <row r="548" spans="1:11" ht="15.6">
      <c r="A548" s="439">
        <v>45906</v>
      </c>
      <c r="B548" s="356" t="s">
        <v>3221</v>
      </c>
      <c r="C548" s="356" t="s">
        <v>365</v>
      </c>
      <c r="D548" s="356" t="s">
        <v>120</v>
      </c>
      <c r="E548" s="357"/>
      <c r="F548" s="356">
        <v>1500</v>
      </c>
      <c r="G548" s="182"/>
      <c r="H548" s="182">
        <f t="shared" si="10"/>
        <v>136000</v>
      </c>
      <c r="I548" s="356" t="s">
        <v>316</v>
      </c>
      <c r="J548" s="357" t="s">
        <v>3263</v>
      </c>
      <c r="K548" s="185"/>
    </row>
    <row r="549" spans="1:11" ht="15.6">
      <c r="A549" s="439">
        <v>45906</v>
      </c>
      <c r="B549" s="356" t="s">
        <v>3227</v>
      </c>
      <c r="C549" s="356" t="s">
        <v>173</v>
      </c>
      <c r="D549" s="356" t="s">
        <v>120</v>
      </c>
      <c r="E549" s="357"/>
      <c r="F549" s="356">
        <v>700</v>
      </c>
      <c r="G549" s="182"/>
      <c r="H549" s="182">
        <f t="shared" si="10"/>
        <v>135300</v>
      </c>
      <c r="I549" s="356" t="s">
        <v>316</v>
      </c>
      <c r="J549" s="357" t="s">
        <v>3260</v>
      </c>
      <c r="K549" s="185"/>
    </row>
    <row r="550" spans="1:11" ht="15.6">
      <c r="A550" s="439">
        <v>45906</v>
      </c>
      <c r="B550" s="356" t="s">
        <v>3228</v>
      </c>
      <c r="C550" s="356" t="s">
        <v>173</v>
      </c>
      <c r="D550" s="356" t="s">
        <v>120</v>
      </c>
      <c r="E550" s="357"/>
      <c r="F550" s="356">
        <v>700</v>
      </c>
      <c r="G550" s="182"/>
      <c r="H550" s="182">
        <f t="shared" si="10"/>
        <v>134600</v>
      </c>
      <c r="I550" s="356" t="s">
        <v>316</v>
      </c>
      <c r="J550" s="357" t="s">
        <v>3260</v>
      </c>
      <c r="K550" s="185"/>
    </row>
    <row r="551" spans="1:11" ht="15.6">
      <c r="A551" s="439">
        <v>45906</v>
      </c>
      <c r="B551" s="356" t="s">
        <v>3221</v>
      </c>
      <c r="C551" s="356" t="s">
        <v>365</v>
      </c>
      <c r="D551" s="356" t="s">
        <v>120</v>
      </c>
      <c r="E551" s="357"/>
      <c r="F551" s="356">
        <v>2000</v>
      </c>
      <c r="G551" s="182"/>
      <c r="H551" s="182">
        <f t="shared" si="10"/>
        <v>132600</v>
      </c>
      <c r="I551" s="356" t="s">
        <v>316</v>
      </c>
      <c r="J551" s="357" t="s">
        <v>3263</v>
      </c>
      <c r="K551" s="185"/>
    </row>
    <row r="552" spans="1:11" ht="15.6">
      <c r="A552" s="439">
        <v>45906</v>
      </c>
      <c r="B552" s="356" t="s">
        <v>3229</v>
      </c>
      <c r="C552" s="356" t="s">
        <v>173</v>
      </c>
      <c r="D552" s="356" t="s">
        <v>120</v>
      </c>
      <c r="E552" s="357"/>
      <c r="F552" s="356">
        <v>700</v>
      </c>
      <c r="G552" s="182"/>
      <c r="H552" s="182">
        <f t="shared" si="10"/>
        <v>131900</v>
      </c>
      <c r="I552" s="356" t="s">
        <v>316</v>
      </c>
      <c r="J552" s="357" t="s">
        <v>3260</v>
      </c>
      <c r="K552" s="185"/>
    </row>
    <row r="553" spans="1:11" ht="15.6">
      <c r="A553" s="439">
        <v>45907</v>
      </c>
      <c r="B553" s="356" t="s">
        <v>4037</v>
      </c>
      <c r="C553" s="356" t="s">
        <v>173</v>
      </c>
      <c r="D553" s="356" t="s">
        <v>120</v>
      </c>
      <c r="E553" s="357"/>
      <c r="F553" s="356">
        <v>700</v>
      </c>
      <c r="G553" s="182"/>
      <c r="H553" s="182">
        <f t="shared" si="10"/>
        <v>131200</v>
      </c>
      <c r="I553" s="356" t="s">
        <v>316</v>
      </c>
      <c r="J553" s="357" t="s">
        <v>3260</v>
      </c>
      <c r="K553" s="185"/>
    </row>
    <row r="554" spans="1:11" ht="15.6">
      <c r="A554" s="439">
        <v>45907</v>
      </c>
      <c r="B554" s="356" t="s">
        <v>3694</v>
      </c>
      <c r="C554" s="356" t="s">
        <v>173</v>
      </c>
      <c r="D554" s="356" t="s">
        <v>120</v>
      </c>
      <c r="E554" s="357"/>
      <c r="F554" s="356">
        <v>5000</v>
      </c>
      <c r="G554" s="182"/>
      <c r="H554" s="182">
        <f t="shared" si="10"/>
        <v>126200</v>
      </c>
      <c r="I554" s="356" t="s">
        <v>316</v>
      </c>
      <c r="J554" s="437" t="s">
        <v>3265</v>
      </c>
      <c r="K554" s="185"/>
    </row>
    <row r="555" spans="1:11" ht="15.6">
      <c r="A555" s="439">
        <v>45907</v>
      </c>
      <c r="B555" s="356" t="s">
        <v>3230</v>
      </c>
      <c r="C555" s="356" t="s">
        <v>173</v>
      </c>
      <c r="D555" s="356" t="s">
        <v>120</v>
      </c>
      <c r="E555" s="357"/>
      <c r="F555" s="356">
        <v>500</v>
      </c>
      <c r="G555" s="182"/>
      <c r="H555" s="182">
        <f t="shared" si="10"/>
        <v>125700</v>
      </c>
      <c r="I555" s="356" t="s">
        <v>316</v>
      </c>
      <c r="J555" s="357" t="s">
        <v>3260</v>
      </c>
      <c r="K555" s="185"/>
    </row>
    <row r="556" spans="1:11" ht="15.6">
      <c r="A556" s="439">
        <v>45907</v>
      </c>
      <c r="B556" s="356" t="s">
        <v>3231</v>
      </c>
      <c r="C556" s="356" t="s">
        <v>173</v>
      </c>
      <c r="D556" s="356" t="s">
        <v>120</v>
      </c>
      <c r="E556" s="357"/>
      <c r="F556" s="356">
        <v>500</v>
      </c>
      <c r="G556" s="182"/>
      <c r="H556" s="182">
        <f t="shared" si="10"/>
        <v>125200</v>
      </c>
      <c r="I556" s="356" t="s">
        <v>316</v>
      </c>
      <c r="J556" s="357" t="s">
        <v>3260</v>
      </c>
      <c r="K556" s="185"/>
    </row>
    <row r="557" spans="1:11" ht="15.6">
      <c r="A557" s="439">
        <v>45907</v>
      </c>
      <c r="B557" s="356" t="s">
        <v>3232</v>
      </c>
      <c r="C557" s="356" t="s">
        <v>173</v>
      </c>
      <c r="D557" s="356" t="s">
        <v>120</v>
      </c>
      <c r="E557" s="357"/>
      <c r="F557" s="356">
        <v>500</v>
      </c>
      <c r="G557" s="182"/>
      <c r="H557" s="182">
        <f t="shared" si="10"/>
        <v>124700</v>
      </c>
      <c r="I557" s="356" t="s">
        <v>316</v>
      </c>
      <c r="J557" s="357" t="s">
        <v>3260</v>
      </c>
      <c r="K557" s="185"/>
    </row>
    <row r="558" spans="1:11" ht="15.6">
      <c r="A558" s="439">
        <v>45907</v>
      </c>
      <c r="B558" s="356" t="s">
        <v>3233</v>
      </c>
      <c r="C558" s="356" t="s">
        <v>173</v>
      </c>
      <c r="D558" s="356" t="s">
        <v>120</v>
      </c>
      <c r="E558" s="357"/>
      <c r="F558" s="356">
        <v>500</v>
      </c>
      <c r="G558" s="182"/>
      <c r="H558" s="182">
        <f t="shared" si="10"/>
        <v>124200</v>
      </c>
      <c r="I558" s="356" t="s">
        <v>316</v>
      </c>
      <c r="J558" s="357" t="s">
        <v>3260</v>
      </c>
      <c r="K558" s="185"/>
    </row>
    <row r="559" spans="1:11" ht="15.6">
      <c r="A559" s="439">
        <v>45907</v>
      </c>
      <c r="B559" s="356" t="s">
        <v>3726</v>
      </c>
      <c r="C559" s="356" t="s">
        <v>173</v>
      </c>
      <c r="D559" s="356" t="s">
        <v>120</v>
      </c>
      <c r="E559" s="357"/>
      <c r="F559" s="356">
        <v>5000</v>
      </c>
      <c r="G559" s="182"/>
      <c r="H559" s="182">
        <f t="shared" si="10"/>
        <v>119200</v>
      </c>
      <c r="I559" s="356" t="s">
        <v>316</v>
      </c>
      <c r="J559" s="437" t="s">
        <v>3266</v>
      </c>
      <c r="K559" s="185"/>
    </row>
    <row r="560" spans="1:11" ht="15.6">
      <c r="A560" s="439">
        <v>45907</v>
      </c>
      <c r="B560" s="356" t="s">
        <v>3234</v>
      </c>
      <c r="C560" s="356" t="s">
        <v>173</v>
      </c>
      <c r="D560" s="356" t="s">
        <v>120</v>
      </c>
      <c r="E560" s="357"/>
      <c r="F560" s="356">
        <v>700</v>
      </c>
      <c r="G560" s="182"/>
      <c r="H560" s="182">
        <f t="shared" si="10"/>
        <v>118500</v>
      </c>
      <c r="I560" s="356" t="s">
        <v>316</v>
      </c>
      <c r="J560" s="357" t="s">
        <v>3260</v>
      </c>
      <c r="K560" s="185"/>
    </row>
    <row r="561" spans="1:11" ht="15.6">
      <c r="A561" s="439">
        <v>45908</v>
      </c>
      <c r="B561" s="356" t="s">
        <v>3702</v>
      </c>
      <c r="C561" s="356" t="s">
        <v>176</v>
      </c>
      <c r="D561" s="356" t="s">
        <v>120</v>
      </c>
      <c r="E561" s="357"/>
      <c r="F561" s="356">
        <v>60000</v>
      </c>
      <c r="G561" s="182"/>
      <c r="H561" s="182">
        <f t="shared" si="10"/>
        <v>58500</v>
      </c>
      <c r="I561" s="356" t="s">
        <v>316</v>
      </c>
      <c r="J561" s="437" t="s">
        <v>3267</v>
      </c>
      <c r="K561" s="185"/>
    </row>
    <row r="562" spans="1:11" ht="15.6">
      <c r="A562" s="439">
        <v>45908</v>
      </c>
      <c r="B562" s="356" t="s">
        <v>4038</v>
      </c>
      <c r="C562" s="356" t="s">
        <v>173</v>
      </c>
      <c r="D562" s="356" t="s">
        <v>120</v>
      </c>
      <c r="E562" s="357"/>
      <c r="F562" s="356">
        <v>700</v>
      </c>
      <c r="G562" s="182"/>
      <c r="H562" s="182">
        <f t="shared" si="10"/>
        <v>57800</v>
      </c>
      <c r="I562" s="356" t="s">
        <v>316</v>
      </c>
      <c r="J562" s="357" t="s">
        <v>3260</v>
      </c>
      <c r="K562" s="185"/>
    </row>
    <row r="563" spans="1:11" ht="15.6">
      <c r="A563" s="439">
        <v>45908</v>
      </c>
      <c r="B563" s="356" t="s">
        <v>3689</v>
      </c>
      <c r="C563" s="356" t="s">
        <v>173</v>
      </c>
      <c r="D563" s="356" t="s">
        <v>120</v>
      </c>
      <c r="E563" s="357"/>
      <c r="F563" s="356">
        <v>3000</v>
      </c>
      <c r="G563" s="182"/>
      <c r="H563" s="182">
        <f t="shared" si="10"/>
        <v>54800</v>
      </c>
      <c r="I563" s="356" t="s">
        <v>316</v>
      </c>
      <c r="J563" s="437" t="s">
        <v>3268</v>
      </c>
      <c r="K563" s="185"/>
    </row>
    <row r="564" spans="1:11" ht="15.6">
      <c r="A564" s="439">
        <v>45908</v>
      </c>
      <c r="B564" s="356" t="s">
        <v>4039</v>
      </c>
      <c r="C564" s="356" t="s">
        <v>173</v>
      </c>
      <c r="D564" s="356" t="s">
        <v>120</v>
      </c>
      <c r="E564" s="357"/>
      <c r="F564" s="356">
        <v>500</v>
      </c>
      <c r="G564" s="182"/>
      <c r="H564" s="182">
        <f t="shared" si="10"/>
        <v>54300</v>
      </c>
      <c r="I564" s="356" t="s">
        <v>316</v>
      </c>
      <c r="J564" s="357" t="s">
        <v>3260</v>
      </c>
      <c r="K564" s="185"/>
    </row>
    <row r="565" spans="1:11" ht="15.6">
      <c r="A565" s="439">
        <v>45908</v>
      </c>
      <c r="B565" s="356" t="s">
        <v>3235</v>
      </c>
      <c r="C565" s="356" t="s">
        <v>173</v>
      </c>
      <c r="D565" s="356" t="s">
        <v>120</v>
      </c>
      <c r="E565" s="357"/>
      <c r="F565" s="356">
        <v>600</v>
      </c>
      <c r="G565" s="182"/>
      <c r="H565" s="182">
        <f t="shared" si="10"/>
        <v>53700</v>
      </c>
      <c r="I565" s="356" t="s">
        <v>316</v>
      </c>
      <c r="J565" s="357" t="s">
        <v>3260</v>
      </c>
      <c r="K565" s="185"/>
    </row>
    <row r="566" spans="1:11" ht="15.6">
      <c r="A566" s="439">
        <v>45908</v>
      </c>
      <c r="B566" s="356" t="s">
        <v>3236</v>
      </c>
      <c r="C566" s="356" t="s">
        <v>173</v>
      </c>
      <c r="D566" s="356" t="s">
        <v>120</v>
      </c>
      <c r="E566" s="357"/>
      <c r="F566" s="356">
        <v>500</v>
      </c>
      <c r="G566" s="182"/>
      <c r="H566" s="182">
        <f t="shared" si="10"/>
        <v>53200</v>
      </c>
      <c r="I566" s="356" t="s">
        <v>316</v>
      </c>
      <c r="J566" s="357" t="s">
        <v>3260</v>
      </c>
      <c r="K566" s="185"/>
    </row>
    <row r="567" spans="1:11" ht="15.6">
      <c r="A567" s="439">
        <v>45908</v>
      </c>
      <c r="B567" s="356" t="s">
        <v>3237</v>
      </c>
      <c r="C567" s="356" t="s">
        <v>173</v>
      </c>
      <c r="D567" s="356" t="s">
        <v>120</v>
      </c>
      <c r="E567" s="357"/>
      <c r="F567" s="356">
        <v>500</v>
      </c>
      <c r="G567" s="182"/>
      <c r="H567" s="182">
        <f t="shared" si="10"/>
        <v>52700</v>
      </c>
      <c r="I567" s="356" t="s">
        <v>316</v>
      </c>
      <c r="J567" s="357" t="s">
        <v>3260</v>
      </c>
      <c r="K567" s="185"/>
    </row>
    <row r="568" spans="1:11" ht="15.6">
      <c r="A568" s="439">
        <v>45908</v>
      </c>
      <c r="B568" s="356" t="s">
        <v>3238</v>
      </c>
      <c r="C568" s="356" t="s">
        <v>151</v>
      </c>
      <c r="D568" s="356" t="s">
        <v>120</v>
      </c>
      <c r="E568" s="357">
        <v>10000</v>
      </c>
      <c r="F568" s="356"/>
      <c r="G568" s="182"/>
      <c r="H568" s="182">
        <f t="shared" si="10"/>
        <v>62700</v>
      </c>
      <c r="I568" s="356" t="s">
        <v>316</v>
      </c>
      <c r="J568" s="437" t="s">
        <v>3269</v>
      </c>
      <c r="K568" s="185"/>
    </row>
    <row r="569" spans="1:11" ht="15.6">
      <c r="A569" s="439">
        <v>45908</v>
      </c>
      <c r="B569" s="356" t="s">
        <v>3238</v>
      </c>
      <c r="C569" s="356" t="s">
        <v>151</v>
      </c>
      <c r="D569" s="356" t="s">
        <v>120</v>
      </c>
      <c r="E569" s="357"/>
      <c r="F569" s="356">
        <v>10000</v>
      </c>
      <c r="G569" s="182"/>
      <c r="H569" s="182">
        <f t="shared" si="10"/>
        <v>52700</v>
      </c>
      <c r="I569" s="356" t="s">
        <v>316</v>
      </c>
      <c r="J569" s="437" t="s">
        <v>3269</v>
      </c>
      <c r="K569" s="185"/>
    </row>
    <row r="570" spans="1:11" ht="15.6">
      <c r="A570" s="439">
        <v>45909</v>
      </c>
      <c r="B570" s="356" t="s">
        <v>2515</v>
      </c>
      <c r="C570" s="356" t="s">
        <v>173</v>
      </c>
      <c r="D570" s="356" t="s">
        <v>120</v>
      </c>
      <c r="E570" s="357"/>
      <c r="F570" s="356">
        <v>600</v>
      </c>
      <c r="G570" s="182"/>
      <c r="H570" s="182">
        <f t="shared" si="10"/>
        <v>52100</v>
      </c>
      <c r="I570" s="356" t="s">
        <v>316</v>
      </c>
      <c r="J570" s="357" t="s">
        <v>3260</v>
      </c>
      <c r="K570" s="185"/>
    </row>
    <row r="571" spans="1:11" ht="15.6">
      <c r="A571" s="439">
        <v>45909</v>
      </c>
      <c r="B571" s="356" t="s">
        <v>3239</v>
      </c>
      <c r="C571" s="356" t="s">
        <v>173</v>
      </c>
      <c r="D571" s="356" t="s">
        <v>120</v>
      </c>
      <c r="E571" s="357"/>
      <c r="F571" s="356">
        <v>500</v>
      </c>
      <c r="G571" s="182"/>
      <c r="H571" s="182">
        <f t="shared" si="10"/>
        <v>51600</v>
      </c>
      <c r="I571" s="356" t="s">
        <v>316</v>
      </c>
      <c r="J571" s="357" t="s">
        <v>3260</v>
      </c>
      <c r="K571" s="185"/>
    </row>
    <row r="572" spans="1:11" ht="15.6">
      <c r="A572" s="439">
        <v>45909</v>
      </c>
      <c r="B572" s="356" t="s">
        <v>3240</v>
      </c>
      <c r="C572" s="356" t="s">
        <v>173</v>
      </c>
      <c r="D572" s="356" t="s">
        <v>120</v>
      </c>
      <c r="E572" s="357"/>
      <c r="F572" s="356">
        <v>500</v>
      </c>
      <c r="G572" s="182"/>
      <c r="H572" s="182">
        <f t="shared" si="10"/>
        <v>51100</v>
      </c>
      <c r="I572" s="356" t="s">
        <v>316</v>
      </c>
      <c r="J572" s="357" t="s">
        <v>3260</v>
      </c>
      <c r="K572" s="185"/>
    </row>
    <row r="573" spans="1:11" ht="15.6">
      <c r="A573" s="439">
        <v>45909</v>
      </c>
      <c r="B573" s="356" t="s">
        <v>3241</v>
      </c>
      <c r="C573" s="356" t="s">
        <v>173</v>
      </c>
      <c r="D573" s="356" t="s">
        <v>120</v>
      </c>
      <c r="E573" s="357"/>
      <c r="F573" s="356">
        <v>600</v>
      </c>
      <c r="G573" s="182"/>
      <c r="H573" s="182">
        <f t="shared" si="10"/>
        <v>50500</v>
      </c>
      <c r="I573" s="356" t="s">
        <v>316</v>
      </c>
      <c r="J573" s="357" t="s">
        <v>3260</v>
      </c>
      <c r="K573" s="185"/>
    </row>
    <row r="574" spans="1:11" ht="15.6">
      <c r="A574" s="439">
        <v>45909</v>
      </c>
      <c r="B574" s="356" t="s">
        <v>3242</v>
      </c>
      <c r="C574" s="356" t="s">
        <v>173</v>
      </c>
      <c r="D574" s="356" t="s">
        <v>120</v>
      </c>
      <c r="E574" s="357"/>
      <c r="F574" s="356">
        <v>500</v>
      </c>
      <c r="G574" s="182"/>
      <c r="H574" s="182">
        <f t="shared" si="10"/>
        <v>50000</v>
      </c>
      <c r="I574" s="356" t="s">
        <v>316</v>
      </c>
      <c r="J574" s="357" t="s">
        <v>3260</v>
      </c>
      <c r="K574" s="185"/>
    </row>
    <row r="575" spans="1:11" ht="15.6">
      <c r="A575" s="439">
        <v>45910</v>
      </c>
      <c r="B575" s="356" t="s">
        <v>3702</v>
      </c>
      <c r="C575" s="356" t="s">
        <v>176</v>
      </c>
      <c r="D575" s="356" t="s">
        <v>120</v>
      </c>
      <c r="E575" s="357"/>
      <c r="F575" s="356">
        <v>30000</v>
      </c>
      <c r="G575" s="182"/>
      <c r="H575" s="182">
        <f t="shared" si="10"/>
        <v>20000</v>
      </c>
      <c r="I575" s="356" t="s">
        <v>316</v>
      </c>
      <c r="J575" s="437" t="s">
        <v>3270</v>
      </c>
      <c r="K575" s="185"/>
    </row>
    <row r="576" spans="1:11" ht="15.6">
      <c r="A576" s="439">
        <v>45910</v>
      </c>
      <c r="B576" s="356" t="s">
        <v>4040</v>
      </c>
      <c r="C576" s="356" t="s">
        <v>173</v>
      </c>
      <c r="D576" s="356" t="s">
        <v>120</v>
      </c>
      <c r="E576" s="357"/>
      <c r="F576" s="356">
        <v>500</v>
      </c>
      <c r="G576" s="182"/>
      <c r="H576" s="182">
        <f t="shared" si="10"/>
        <v>19500</v>
      </c>
      <c r="I576" s="356" t="s">
        <v>316</v>
      </c>
      <c r="J576" s="357" t="s">
        <v>3260</v>
      </c>
      <c r="K576" s="185"/>
    </row>
    <row r="577" spans="1:11" ht="15.6">
      <c r="A577" s="439">
        <v>45910</v>
      </c>
      <c r="B577" s="356" t="s">
        <v>3694</v>
      </c>
      <c r="C577" s="356" t="s">
        <v>173</v>
      </c>
      <c r="D577" s="356" t="s">
        <v>120</v>
      </c>
      <c r="E577" s="357"/>
      <c r="F577" s="356">
        <v>7000</v>
      </c>
      <c r="G577" s="182"/>
      <c r="H577" s="182">
        <f t="shared" si="10"/>
        <v>12500</v>
      </c>
      <c r="I577" s="356" t="s">
        <v>316</v>
      </c>
      <c r="J577" s="437" t="s">
        <v>3270</v>
      </c>
      <c r="K577" s="185"/>
    </row>
    <row r="578" spans="1:11" ht="15.6">
      <c r="A578" s="439">
        <v>45910</v>
      </c>
      <c r="B578" s="356" t="s">
        <v>4041</v>
      </c>
      <c r="C578" s="356" t="s">
        <v>173</v>
      </c>
      <c r="D578" s="356" t="s">
        <v>120</v>
      </c>
      <c r="E578" s="357"/>
      <c r="F578" s="356">
        <v>2500</v>
      </c>
      <c r="G578" s="182"/>
      <c r="H578" s="182">
        <f t="shared" si="10"/>
        <v>10000</v>
      </c>
      <c r="I578" s="356" t="s">
        <v>316</v>
      </c>
      <c r="J578" s="357" t="s">
        <v>3260</v>
      </c>
      <c r="K578" s="185"/>
    </row>
    <row r="579" spans="1:11" ht="15.6">
      <c r="A579" s="439">
        <v>45916</v>
      </c>
      <c r="B579" s="356" t="s">
        <v>3243</v>
      </c>
      <c r="C579" s="356" t="s">
        <v>173</v>
      </c>
      <c r="D579" s="356" t="s">
        <v>120</v>
      </c>
      <c r="E579" s="357"/>
      <c r="F579" s="356">
        <v>2500</v>
      </c>
      <c r="G579" s="182"/>
      <c r="H579" s="182">
        <f t="shared" si="10"/>
        <v>7500</v>
      </c>
      <c r="I579" s="356" t="s">
        <v>316</v>
      </c>
      <c r="J579" s="357" t="s">
        <v>3260</v>
      </c>
      <c r="K579" s="185"/>
    </row>
    <row r="580" spans="1:11" ht="15.6">
      <c r="A580" s="439">
        <v>45916</v>
      </c>
      <c r="B580" s="356" t="s">
        <v>3244</v>
      </c>
      <c r="C580" s="356" t="s">
        <v>173</v>
      </c>
      <c r="D580" s="356" t="s">
        <v>120</v>
      </c>
      <c r="E580" s="357"/>
      <c r="F580" s="356">
        <v>1500</v>
      </c>
      <c r="G580" s="182"/>
      <c r="H580" s="182">
        <f t="shared" si="10"/>
        <v>6000</v>
      </c>
      <c r="I580" s="356" t="s">
        <v>316</v>
      </c>
      <c r="J580" s="357" t="s">
        <v>3260</v>
      </c>
      <c r="K580" s="185"/>
    </row>
    <row r="581" spans="1:11" ht="15.6">
      <c r="A581" s="439">
        <v>45916</v>
      </c>
      <c r="B581" s="356" t="s">
        <v>3245</v>
      </c>
      <c r="C581" s="356" t="s">
        <v>173</v>
      </c>
      <c r="D581" s="356" t="s">
        <v>120</v>
      </c>
      <c r="E581" s="357"/>
      <c r="F581" s="356">
        <v>1500</v>
      </c>
      <c r="G581" s="182"/>
      <c r="H581" s="182">
        <f t="shared" si="10"/>
        <v>4500</v>
      </c>
      <c r="I581" s="356" t="s">
        <v>316</v>
      </c>
      <c r="J581" s="357" t="s">
        <v>3260</v>
      </c>
      <c r="K581" s="185"/>
    </row>
    <row r="582" spans="1:11" ht="15.6">
      <c r="A582" s="439">
        <v>45916</v>
      </c>
      <c r="B582" s="356" t="s">
        <v>3246</v>
      </c>
      <c r="C582" s="356" t="s">
        <v>173</v>
      </c>
      <c r="D582" s="356" t="s">
        <v>120</v>
      </c>
      <c r="E582" s="357"/>
      <c r="F582" s="356">
        <v>2000</v>
      </c>
      <c r="G582" s="182"/>
      <c r="H582" s="182">
        <f t="shared" si="10"/>
        <v>2500</v>
      </c>
      <c r="I582" s="356" t="s">
        <v>316</v>
      </c>
      <c r="J582" s="357" t="s">
        <v>3260</v>
      </c>
      <c r="K582" s="185"/>
    </row>
    <row r="583" spans="1:11" ht="15.6">
      <c r="A583" s="439">
        <v>45917</v>
      </c>
      <c r="B583" s="356" t="s">
        <v>2513</v>
      </c>
      <c r="C583" s="356" t="s">
        <v>123</v>
      </c>
      <c r="D583" s="356" t="s">
        <v>120</v>
      </c>
      <c r="E583" s="357">
        <v>20000</v>
      </c>
      <c r="F583" s="357"/>
      <c r="G583" s="182"/>
      <c r="H583" s="182">
        <f t="shared" si="10"/>
        <v>22500</v>
      </c>
      <c r="I583" s="356" t="s">
        <v>316</v>
      </c>
      <c r="J583" s="357" t="s">
        <v>3271</v>
      </c>
      <c r="K583" s="185"/>
    </row>
    <row r="584" spans="1:11" ht="15.6">
      <c r="A584" s="439">
        <v>45917</v>
      </c>
      <c r="B584" s="356" t="s">
        <v>3247</v>
      </c>
      <c r="C584" s="356" t="s">
        <v>173</v>
      </c>
      <c r="D584" s="356" t="s">
        <v>120</v>
      </c>
      <c r="E584" s="357"/>
      <c r="F584" s="356">
        <v>2000</v>
      </c>
      <c r="G584" s="182"/>
      <c r="H584" s="182">
        <f t="shared" si="10"/>
        <v>20500</v>
      </c>
      <c r="I584" s="356" t="s">
        <v>316</v>
      </c>
      <c r="J584" s="357" t="s">
        <v>3260</v>
      </c>
      <c r="K584" s="185"/>
    </row>
    <row r="585" spans="1:11" ht="15.6">
      <c r="A585" s="439">
        <v>45917</v>
      </c>
      <c r="B585" s="356" t="s">
        <v>2520</v>
      </c>
      <c r="C585" s="356" t="s">
        <v>173</v>
      </c>
      <c r="D585" s="356" t="s">
        <v>120</v>
      </c>
      <c r="E585" s="357"/>
      <c r="F585" s="356">
        <v>1000</v>
      </c>
      <c r="G585" s="182"/>
      <c r="H585" s="182">
        <f t="shared" si="10"/>
        <v>19500</v>
      </c>
      <c r="I585" s="356" t="s">
        <v>316</v>
      </c>
      <c r="J585" s="357" t="s">
        <v>3260</v>
      </c>
      <c r="K585" s="185"/>
    </row>
    <row r="586" spans="1:11" ht="15.6">
      <c r="A586" s="439">
        <v>45917</v>
      </c>
      <c r="B586" s="356" t="s">
        <v>2521</v>
      </c>
      <c r="C586" s="356" t="s">
        <v>173</v>
      </c>
      <c r="D586" s="356" t="s">
        <v>120</v>
      </c>
      <c r="E586" s="357"/>
      <c r="F586" s="356">
        <v>1500</v>
      </c>
      <c r="G586" s="182"/>
      <c r="H586" s="182">
        <f t="shared" si="10"/>
        <v>18000</v>
      </c>
      <c r="I586" s="356" t="s">
        <v>316</v>
      </c>
      <c r="J586" s="357" t="s">
        <v>3260</v>
      </c>
      <c r="K586" s="185"/>
    </row>
    <row r="587" spans="1:11" ht="15.6">
      <c r="A587" s="439">
        <v>45917</v>
      </c>
      <c r="B587" s="356" t="s">
        <v>3248</v>
      </c>
      <c r="C587" s="356" t="s">
        <v>151</v>
      </c>
      <c r="D587" s="356" t="s">
        <v>120</v>
      </c>
      <c r="E587" s="357">
        <v>10000</v>
      </c>
      <c r="F587" s="356"/>
      <c r="G587" s="182"/>
      <c r="H587" s="182">
        <f t="shared" si="10"/>
        <v>28000</v>
      </c>
      <c r="I587" s="356" t="s">
        <v>316</v>
      </c>
      <c r="J587" s="437" t="s">
        <v>3272</v>
      </c>
      <c r="K587" s="185"/>
    </row>
    <row r="588" spans="1:11" ht="15.6">
      <c r="A588" s="439">
        <v>45917</v>
      </c>
      <c r="B588" s="356" t="s">
        <v>3248</v>
      </c>
      <c r="C588" s="356" t="s">
        <v>151</v>
      </c>
      <c r="D588" s="356" t="s">
        <v>120</v>
      </c>
      <c r="E588" s="357"/>
      <c r="F588" s="356">
        <v>10000</v>
      </c>
      <c r="G588" s="182"/>
      <c r="H588" s="182">
        <f t="shared" si="10"/>
        <v>18000</v>
      </c>
      <c r="I588" s="356" t="s">
        <v>316</v>
      </c>
      <c r="J588" s="437" t="s">
        <v>3272</v>
      </c>
      <c r="K588" s="185"/>
    </row>
    <row r="589" spans="1:11" ht="15.6">
      <c r="A589" s="439">
        <v>45918</v>
      </c>
      <c r="B589" s="356" t="s">
        <v>3249</v>
      </c>
      <c r="C589" s="356" t="s">
        <v>173</v>
      </c>
      <c r="D589" s="356" t="s">
        <v>120</v>
      </c>
      <c r="E589" s="357"/>
      <c r="F589" s="356">
        <v>2000</v>
      </c>
      <c r="G589" s="182"/>
      <c r="H589" s="182">
        <f t="shared" si="10"/>
        <v>16000</v>
      </c>
      <c r="I589" s="356" t="s">
        <v>316</v>
      </c>
      <c r="J589" s="357" t="s">
        <v>3260</v>
      </c>
      <c r="K589" s="185"/>
    </row>
    <row r="590" spans="1:11" ht="15.6">
      <c r="A590" s="439">
        <v>45918</v>
      </c>
      <c r="B590" s="356" t="s">
        <v>3250</v>
      </c>
      <c r="C590" s="356" t="s">
        <v>173</v>
      </c>
      <c r="D590" s="356" t="s">
        <v>120</v>
      </c>
      <c r="E590" s="357"/>
      <c r="F590" s="356">
        <v>2500</v>
      </c>
      <c r="G590" s="182"/>
      <c r="H590" s="182">
        <f t="shared" si="10"/>
        <v>13500</v>
      </c>
      <c r="I590" s="356" t="s">
        <v>316</v>
      </c>
      <c r="J590" s="357" t="s">
        <v>3260</v>
      </c>
      <c r="K590" s="185"/>
    </row>
    <row r="591" spans="1:11" ht="15.6">
      <c r="A591" s="439">
        <v>45918</v>
      </c>
      <c r="B591" s="356" t="s">
        <v>3251</v>
      </c>
      <c r="C591" s="356" t="s">
        <v>173</v>
      </c>
      <c r="D591" s="356" t="s">
        <v>120</v>
      </c>
      <c r="E591" s="357"/>
      <c r="F591" s="356">
        <v>1500</v>
      </c>
      <c r="G591" s="182"/>
      <c r="H591" s="182">
        <f t="shared" si="10"/>
        <v>12000</v>
      </c>
      <c r="I591" s="356" t="s">
        <v>316</v>
      </c>
      <c r="J591" s="357" t="s">
        <v>3260</v>
      </c>
      <c r="K591" s="185"/>
    </row>
    <row r="592" spans="1:11" ht="15.6">
      <c r="A592" s="439">
        <v>45918</v>
      </c>
      <c r="B592" s="356" t="s">
        <v>3252</v>
      </c>
      <c r="C592" s="356" t="s">
        <v>173</v>
      </c>
      <c r="D592" s="356" t="s">
        <v>120</v>
      </c>
      <c r="E592" s="357"/>
      <c r="F592" s="356">
        <v>2500</v>
      </c>
      <c r="G592" s="182"/>
      <c r="H592" s="182">
        <f t="shared" si="10"/>
        <v>9500</v>
      </c>
      <c r="I592" s="356" t="s">
        <v>316</v>
      </c>
      <c r="J592" s="357" t="s">
        <v>3260</v>
      </c>
      <c r="K592" s="185"/>
    </row>
    <row r="593" spans="1:11" ht="15.6">
      <c r="A593" s="439">
        <v>45923</v>
      </c>
      <c r="B593" s="356" t="s">
        <v>3253</v>
      </c>
      <c r="C593" s="356" t="s">
        <v>173</v>
      </c>
      <c r="D593" s="356" t="s">
        <v>120</v>
      </c>
      <c r="E593" s="357"/>
      <c r="F593" s="356">
        <v>2000</v>
      </c>
      <c r="G593" s="182"/>
      <c r="H593" s="182">
        <f t="shared" si="10"/>
        <v>7500</v>
      </c>
      <c r="I593" s="356" t="s">
        <v>316</v>
      </c>
      <c r="J593" s="357" t="s">
        <v>3260</v>
      </c>
      <c r="K593" s="185"/>
    </row>
    <row r="594" spans="1:11" ht="15.6">
      <c r="A594" s="439">
        <v>45923</v>
      </c>
      <c r="B594" s="356" t="s">
        <v>3254</v>
      </c>
      <c r="C594" s="356" t="s">
        <v>173</v>
      </c>
      <c r="D594" s="356" t="s">
        <v>120</v>
      </c>
      <c r="E594" s="357"/>
      <c r="F594" s="356">
        <v>1500</v>
      </c>
      <c r="G594" s="182"/>
      <c r="H594" s="182">
        <f t="shared" si="10"/>
        <v>6000</v>
      </c>
      <c r="I594" s="356" t="s">
        <v>316</v>
      </c>
      <c r="J594" s="357" t="s">
        <v>3260</v>
      </c>
      <c r="K594" s="185"/>
    </row>
    <row r="595" spans="1:11" ht="15.6">
      <c r="A595" s="439">
        <v>45923</v>
      </c>
      <c r="B595" s="356" t="s">
        <v>3255</v>
      </c>
      <c r="C595" s="356" t="s">
        <v>173</v>
      </c>
      <c r="D595" s="356" t="s">
        <v>120</v>
      </c>
      <c r="E595" s="357"/>
      <c r="F595" s="356">
        <v>1000</v>
      </c>
      <c r="G595" s="182"/>
      <c r="H595" s="182">
        <f t="shared" ref="H595:H599" si="11">H594+E595-F595</f>
        <v>5000</v>
      </c>
      <c r="I595" s="356" t="s">
        <v>316</v>
      </c>
      <c r="J595" s="357" t="s">
        <v>3260</v>
      </c>
      <c r="K595" s="185"/>
    </row>
    <row r="596" spans="1:11" ht="15.6">
      <c r="A596" s="439">
        <v>45923</v>
      </c>
      <c r="B596" s="356" t="s">
        <v>3256</v>
      </c>
      <c r="C596" s="356" t="s">
        <v>173</v>
      </c>
      <c r="D596" s="356" t="s">
        <v>120</v>
      </c>
      <c r="E596" s="357"/>
      <c r="F596" s="356">
        <v>2500</v>
      </c>
      <c r="G596" s="182"/>
      <c r="H596" s="182">
        <f t="shared" si="11"/>
        <v>2500</v>
      </c>
      <c r="I596" s="356" t="s">
        <v>316</v>
      </c>
      <c r="J596" s="357" t="s">
        <v>3260</v>
      </c>
      <c r="K596" s="185"/>
    </row>
    <row r="597" spans="1:11" ht="15.6">
      <c r="A597" s="439">
        <v>45924</v>
      </c>
      <c r="B597" s="356" t="s">
        <v>2513</v>
      </c>
      <c r="C597" s="356" t="s">
        <v>123</v>
      </c>
      <c r="D597" s="356" t="s">
        <v>120</v>
      </c>
      <c r="E597" s="357">
        <v>10000</v>
      </c>
      <c r="F597" s="357"/>
      <c r="G597" s="182"/>
      <c r="H597" s="182">
        <f t="shared" si="11"/>
        <v>12500</v>
      </c>
      <c r="I597" s="356" t="s">
        <v>316</v>
      </c>
      <c r="J597" s="357" t="s">
        <v>3273</v>
      </c>
      <c r="K597" s="185"/>
    </row>
    <row r="598" spans="1:11" ht="15.6">
      <c r="A598" s="439">
        <v>45929</v>
      </c>
      <c r="B598" s="356" t="s">
        <v>3257</v>
      </c>
      <c r="C598" s="356" t="s">
        <v>151</v>
      </c>
      <c r="D598" s="356" t="s">
        <v>120</v>
      </c>
      <c r="E598" s="357">
        <v>10000</v>
      </c>
      <c r="F598" s="357"/>
      <c r="G598" s="182"/>
      <c r="H598" s="182">
        <f t="shared" si="11"/>
        <v>22500</v>
      </c>
      <c r="I598" s="356" t="s">
        <v>316</v>
      </c>
      <c r="J598" s="437" t="s">
        <v>3274</v>
      </c>
      <c r="K598" s="185"/>
    </row>
    <row r="599" spans="1:11" ht="15.6">
      <c r="A599" s="439">
        <v>45929</v>
      </c>
      <c r="B599" s="356" t="s">
        <v>3257</v>
      </c>
      <c r="C599" s="356" t="s">
        <v>151</v>
      </c>
      <c r="D599" s="356" t="s">
        <v>120</v>
      </c>
      <c r="E599" s="357"/>
      <c r="F599" s="356">
        <v>10000</v>
      </c>
      <c r="G599" s="182"/>
      <c r="H599" s="182">
        <f t="shared" si="11"/>
        <v>12500</v>
      </c>
      <c r="I599" s="356" t="s">
        <v>316</v>
      </c>
      <c r="J599" s="437" t="s">
        <v>3274</v>
      </c>
      <c r="K599" s="185"/>
    </row>
    <row r="600" spans="1:11" ht="15.6">
      <c r="A600" s="177"/>
      <c r="B600" s="185"/>
      <c r="C600" s="185"/>
      <c r="D600" s="185"/>
      <c r="E600" s="198">
        <f>SUM(E530:E599)</f>
        <v>275000</v>
      </c>
      <c r="F600" s="198">
        <f>SUM(F530:F599)</f>
        <v>274800</v>
      </c>
      <c r="G600" s="198"/>
      <c r="H600" s="206">
        <f>+E600-F600+H529</f>
        <v>12500</v>
      </c>
      <c r="I600" s="185"/>
      <c r="J600" s="185"/>
      <c r="K600" s="185"/>
    </row>
    <row r="601" spans="1:11" ht="15.6">
      <c r="A601" s="177"/>
      <c r="B601" s="185"/>
      <c r="C601" s="185"/>
      <c r="D601" s="185"/>
      <c r="E601" s="198"/>
      <c r="F601" s="198"/>
      <c r="G601" s="198"/>
      <c r="H601" s="206"/>
      <c r="I601" s="185"/>
      <c r="J601" s="185"/>
      <c r="K601" s="185"/>
    </row>
    <row r="602" spans="1:11" ht="15.6">
      <c r="A602" s="187"/>
      <c r="B602" s="185"/>
      <c r="C602" s="188" t="s">
        <v>457</v>
      </c>
      <c r="D602" s="185"/>
      <c r="E602" s="189"/>
      <c r="F602" s="189"/>
      <c r="G602" s="189"/>
      <c r="H602" s="190"/>
      <c r="I602" s="185"/>
      <c r="J602" s="185"/>
      <c r="K602" s="185"/>
    </row>
    <row r="603" spans="1:11" ht="15.6">
      <c r="A603" s="187"/>
      <c r="B603" s="185"/>
      <c r="C603" s="185"/>
      <c r="D603" s="185"/>
      <c r="E603" s="189"/>
      <c r="F603" s="189"/>
      <c r="G603" s="189"/>
      <c r="H603" s="190"/>
      <c r="I603" s="185"/>
      <c r="J603" s="185"/>
      <c r="K603" s="185"/>
    </row>
    <row r="604" spans="1:11" ht="15.6">
      <c r="A604" s="191" t="s">
        <v>0</v>
      </c>
      <c r="B604" s="192" t="s">
        <v>445</v>
      </c>
      <c r="C604" s="192" t="s">
        <v>446</v>
      </c>
      <c r="D604" s="192" t="s">
        <v>447</v>
      </c>
      <c r="E604" s="193" t="s">
        <v>448</v>
      </c>
      <c r="F604" s="193" t="s">
        <v>449</v>
      </c>
      <c r="G604" s="193"/>
      <c r="H604" s="200" t="s">
        <v>30</v>
      </c>
      <c r="I604" s="192" t="s">
        <v>450</v>
      </c>
      <c r="J604" s="192" t="s">
        <v>451</v>
      </c>
      <c r="K604" s="195"/>
    </row>
    <row r="605" spans="1:11" ht="15.6">
      <c r="A605" s="146">
        <v>45901</v>
      </c>
      <c r="B605" s="179" t="s">
        <v>2878</v>
      </c>
      <c r="C605" s="179"/>
      <c r="D605" s="179"/>
      <c r="E605" s="182"/>
      <c r="F605" s="182"/>
      <c r="G605" s="182"/>
      <c r="H605" s="207">
        <v>3000</v>
      </c>
      <c r="I605" s="179" t="s">
        <v>322</v>
      </c>
      <c r="J605" s="179"/>
      <c r="K605" s="185"/>
    </row>
    <row r="606" spans="1:11" ht="15.6">
      <c r="A606" s="330">
        <v>45901</v>
      </c>
      <c r="B606" s="356" t="s">
        <v>3275</v>
      </c>
      <c r="C606" s="356" t="s">
        <v>151</v>
      </c>
      <c r="D606" s="356" t="s">
        <v>120</v>
      </c>
      <c r="E606" s="246">
        <v>10000</v>
      </c>
      <c r="F606" s="246"/>
      <c r="G606" s="182"/>
      <c r="H606" s="207">
        <f>H605+E606-F606</f>
        <v>13000</v>
      </c>
      <c r="I606" s="223" t="s">
        <v>322</v>
      </c>
      <c r="J606" s="223" t="s">
        <v>3298</v>
      </c>
      <c r="K606" s="185"/>
    </row>
    <row r="607" spans="1:11" ht="15.6">
      <c r="A607" s="330">
        <v>45901</v>
      </c>
      <c r="B607" s="356" t="s">
        <v>3275</v>
      </c>
      <c r="C607" s="356" t="s">
        <v>151</v>
      </c>
      <c r="D607" s="356" t="s">
        <v>120</v>
      </c>
      <c r="E607" s="246"/>
      <c r="F607" s="246">
        <v>10000</v>
      </c>
      <c r="G607" s="182"/>
      <c r="H607" s="207">
        <f t="shared" ref="H607:H634" si="12">H606+E607-F607</f>
        <v>3000</v>
      </c>
      <c r="I607" s="223" t="s">
        <v>322</v>
      </c>
      <c r="J607" s="223" t="s">
        <v>3298</v>
      </c>
      <c r="K607" s="185"/>
    </row>
    <row r="608" spans="1:11" ht="15.6">
      <c r="A608" s="330">
        <v>45908</v>
      </c>
      <c r="B608" s="356" t="s">
        <v>3276</v>
      </c>
      <c r="C608" s="356" t="s">
        <v>151</v>
      </c>
      <c r="D608" s="356" t="s">
        <v>120</v>
      </c>
      <c r="E608" s="246">
        <v>10000</v>
      </c>
      <c r="F608" s="246"/>
      <c r="G608" s="182"/>
      <c r="H608" s="207">
        <f t="shared" si="12"/>
        <v>13000</v>
      </c>
      <c r="I608" s="223" t="s">
        <v>322</v>
      </c>
      <c r="J608" s="223" t="s">
        <v>3299</v>
      </c>
      <c r="K608" s="185"/>
    </row>
    <row r="609" spans="1:11" ht="15.6">
      <c r="A609" s="330">
        <v>45908</v>
      </c>
      <c r="B609" s="356" t="s">
        <v>3276</v>
      </c>
      <c r="C609" s="356" t="s">
        <v>151</v>
      </c>
      <c r="D609" s="356" t="s">
        <v>120</v>
      </c>
      <c r="E609" s="246"/>
      <c r="F609" s="246">
        <v>10000</v>
      </c>
      <c r="G609" s="182"/>
      <c r="H609" s="207">
        <f t="shared" si="12"/>
        <v>3000</v>
      </c>
      <c r="I609" s="223" t="s">
        <v>322</v>
      </c>
      <c r="J609" s="223" t="s">
        <v>3299</v>
      </c>
      <c r="K609" s="185"/>
    </row>
    <row r="610" spans="1:11" ht="15.6">
      <c r="A610" s="330">
        <v>45909</v>
      </c>
      <c r="B610" s="223" t="s">
        <v>2545</v>
      </c>
      <c r="C610" s="223" t="s">
        <v>123</v>
      </c>
      <c r="D610" s="223" t="s">
        <v>120</v>
      </c>
      <c r="E610" s="246">
        <v>20000</v>
      </c>
      <c r="F610" s="246"/>
      <c r="G610" s="182"/>
      <c r="H610" s="207">
        <f t="shared" si="12"/>
        <v>23000</v>
      </c>
      <c r="I610" s="223" t="s">
        <v>322</v>
      </c>
      <c r="J610" s="223" t="s">
        <v>3300</v>
      </c>
      <c r="K610" s="185"/>
    </row>
    <row r="611" spans="1:11" ht="15.6">
      <c r="A611" s="330">
        <v>45909</v>
      </c>
      <c r="B611" s="223" t="s">
        <v>3277</v>
      </c>
      <c r="C611" s="223" t="s">
        <v>173</v>
      </c>
      <c r="D611" s="223" t="s">
        <v>120</v>
      </c>
      <c r="E611" s="246"/>
      <c r="F611" s="246">
        <v>1000</v>
      </c>
      <c r="G611" s="182"/>
      <c r="H611" s="207">
        <f t="shared" si="12"/>
        <v>22000</v>
      </c>
      <c r="I611" s="223" t="s">
        <v>322</v>
      </c>
      <c r="J611" s="223" t="s">
        <v>3301</v>
      </c>
      <c r="K611" s="185"/>
    </row>
    <row r="612" spans="1:11" ht="15.6">
      <c r="A612" s="330">
        <v>45909</v>
      </c>
      <c r="B612" s="223" t="s">
        <v>3278</v>
      </c>
      <c r="C612" s="223" t="s">
        <v>173</v>
      </c>
      <c r="D612" s="223" t="s">
        <v>120</v>
      </c>
      <c r="E612" s="246"/>
      <c r="F612" s="246">
        <v>1000</v>
      </c>
      <c r="G612" s="182"/>
      <c r="H612" s="207">
        <f t="shared" si="12"/>
        <v>21000</v>
      </c>
      <c r="I612" s="223" t="s">
        <v>322</v>
      </c>
      <c r="J612" s="223" t="s">
        <v>3301</v>
      </c>
      <c r="K612" s="185"/>
    </row>
    <row r="613" spans="1:11" ht="15.6">
      <c r="A613" s="330">
        <v>45909</v>
      </c>
      <c r="B613" s="223" t="s">
        <v>3279</v>
      </c>
      <c r="C613" s="223" t="s">
        <v>173</v>
      </c>
      <c r="D613" s="223" t="s">
        <v>120</v>
      </c>
      <c r="E613" s="246"/>
      <c r="F613" s="246">
        <v>1000</v>
      </c>
      <c r="G613" s="182"/>
      <c r="H613" s="207">
        <f t="shared" si="12"/>
        <v>20000</v>
      </c>
      <c r="I613" s="223" t="s">
        <v>322</v>
      </c>
      <c r="J613" s="223" t="s">
        <v>3301</v>
      </c>
      <c r="K613" s="185"/>
    </row>
    <row r="614" spans="1:11" ht="15.6">
      <c r="A614" s="330">
        <v>45910</v>
      </c>
      <c r="B614" s="223" t="s">
        <v>3280</v>
      </c>
      <c r="C614" s="223" t="s">
        <v>173</v>
      </c>
      <c r="D614" s="223" t="s">
        <v>120</v>
      </c>
      <c r="E614" s="246"/>
      <c r="F614" s="246">
        <v>1000</v>
      </c>
      <c r="G614" s="182"/>
      <c r="H614" s="207">
        <f t="shared" si="12"/>
        <v>19000</v>
      </c>
      <c r="I614" s="223" t="s">
        <v>322</v>
      </c>
      <c r="J614" s="223" t="s">
        <v>3301</v>
      </c>
      <c r="K614" s="185"/>
    </row>
    <row r="615" spans="1:11" ht="15.6">
      <c r="A615" s="330">
        <v>45910</v>
      </c>
      <c r="B615" s="223" t="s">
        <v>3281</v>
      </c>
      <c r="C615" s="223" t="s">
        <v>173</v>
      </c>
      <c r="D615" s="223" t="s">
        <v>120</v>
      </c>
      <c r="E615" s="246"/>
      <c r="F615" s="246">
        <v>1000</v>
      </c>
      <c r="G615" s="182"/>
      <c r="H615" s="207">
        <f t="shared" si="12"/>
        <v>18000</v>
      </c>
      <c r="I615" s="223" t="s">
        <v>322</v>
      </c>
      <c r="J615" s="223" t="s">
        <v>3301</v>
      </c>
      <c r="K615" s="185"/>
    </row>
    <row r="616" spans="1:11" ht="15.6">
      <c r="A616" s="330">
        <v>45910</v>
      </c>
      <c r="B616" s="223" t="s">
        <v>3282</v>
      </c>
      <c r="C616" s="223" t="s">
        <v>173</v>
      </c>
      <c r="D616" s="223" t="s">
        <v>120</v>
      </c>
      <c r="E616" s="246"/>
      <c r="F616" s="246">
        <v>1000</v>
      </c>
      <c r="G616" s="182"/>
      <c r="H616" s="207">
        <f t="shared" si="12"/>
        <v>17000</v>
      </c>
      <c r="I616" s="223" t="s">
        <v>322</v>
      </c>
      <c r="J616" s="223" t="s">
        <v>3301</v>
      </c>
      <c r="K616" s="185"/>
    </row>
    <row r="617" spans="1:11" ht="15.6">
      <c r="A617" s="330">
        <v>45916</v>
      </c>
      <c r="B617" s="223" t="s">
        <v>3283</v>
      </c>
      <c r="C617" s="223" t="s">
        <v>173</v>
      </c>
      <c r="D617" s="223" t="s">
        <v>120</v>
      </c>
      <c r="E617" s="246"/>
      <c r="F617" s="246">
        <v>1000</v>
      </c>
      <c r="G617" s="182"/>
      <c r="H617" s="207">
        <f t="shared" si="12"/>
        <v>16000</v>
      </c>
      <c r="I617" s="223" t="s">
        <v>322</v>
      </c>
      <c r="J617" s="223" t="s">
        <v>3301</v>
      </c>
      <c r="K617" s="185"/>
    </row>
    <row r="618" spans="1:11" ht="15.6">
      <c r="A618" s="330">
        <v>45916</v>
      </c>
      <c r="B618" s="223" t="s">
        <v>3284</v>
      </c>
      <c r="C618" s="223" t="s">
        <v>173</v>
      </c>
      <c r="D618" s="223" t="s">
        <v>120</v>
      </c>
      <c r="E618" s="246"/>
      <c r="F618" s="246">
        <v>1000</v>
      </c>
      <c r="G618" s="182"/>
      <c r="H618" s="207">
        <f t="shared" si="12"/>
        <v>15000</v>
      </c>
      <c r="I618" s="223" t="s">
        <v>322</v>
      </c>
      <c r="J618" s="223" t="s">
        <v>3301</v>
      </c>
      <c r="K618" s="185"/>
    </row>
    <row r="619" spans="1:11" ht="15.6">
      <c r="A619" s="330">
        <v>45916</v>
      </c>
      <c r="B619" s="223" t="s">
        <v>3285</v>
      </c>
      <c r="C619" s="223" t="s">
        <v>173</v>
      </c>
      <c r="D619" s="223" t="s">
        <v>120</v>
      </c>
      <c r="E619" s="246"/>
      <c r="F619" s="246">
        <v>1000</v>
      </c>
      <c r="G619" s="182"/>
      <c r="H619" s="207">
        <f t="shared" si="12"/>
        <v>14000</v>
      </c>
      <c r="I619" s="223" t="s">
        <v>322</v>
      </c>
      <c r="J619" s="223" t="s">
        <v>3301</v>
      </c>
      <c r="K619" s="185"/>
    </row>
    <row r="620" spans="1:11" ht="15.6">
      <c r="A620" s="330">
        <v>45917</v>
      </c>
      <c r="B620" s="223" t="s">
        <v>3286</v>
      </c>
      <c r="C620" s="223" t="s">
        <v>173</v>
      </c>
      <c r="D620" s="223" t="s">
        <v>120</v>
      </c>
      <c r="E620" s="246"/>
      <c r="F620" s="246">
        <v>1500</v>
      </c>
      <c r="G620" s="182"/>
      <c r="H620" s="207">
        <f t="shared" si="12"/>
        <v>12500</v>
      </c>
      <c r="I620" s="223" t="s">
        <v>322</v>
      </c>
      <c r="J620" s="223" t="s">
        <v>3301</v>
      </c>
      <c r="K620" s="185"/>
    </row>
    <row r="621" spans="1:11" ht="15.6">
      <c r="A621" s="330">
        <v>45917</v>
      </c>
      <c r="B621" s="223" t="s">
        <v>3287</v>
      </c>
      <c r="C621" s="223" t="s">
        <v>173</v>
      </c>
      <c r="D621" s="223" t="s">
        <v>120</v>
      </c>
      <c r="E621" s="246"/>
      <c r="F621" s="246">
        <v>1500</v>
      </c>
      <c r="G621" s="182"/>
      <c r="H621" s="207">
        <f t="shared" si="12"/>
        <v>11000</v>
      </c>
      <c r="I621" s="223" t="s">
        <v>322</v>
      </c>
      <c r="J621" s="223" t="s">
        <v>3301</v>
      </c>
      <c r="K621" s="185"/>
    </row>
    <row r="622" spans="1:11" ht="15.6">
      <c r="A622" s="330">
        <v>45917</v>
      </c>
      <c r="B622" s="223" t="s">
        <v>3288</v>
      </c>
      <c r="C622" s="223" t="s">
        <v>173</v>
      </c>
      <c r="D622" s="223" t="s">
        <v>120</v>
      </c>
      <c r="E622" s="246"/>
      <c r="F622" s="246">
        <v>2000</v>
      </c>
      <c r="G622" s="182"/>
      <c r="H622" s="207">
        <f t="shared" si="12"/>
        <v>9000</v>
      </c>
      <c r="I622" s="223" t="s">
        <v>322</v>
      </c>
      <c r="J622" s="223" t="s">
        <v>3301</v>
      </c>
      <c r="K622" s="185"/>
    </row>
    <row r="623" spans="1:11" ht="15.6">
      <c r="A623" s="330">
        <v>45917</v>
      </c>
      <c r="B623" s="356" t="s">
        <v>3289</v>
      </c>
      <c r="C623" s="356" t="s">
        <v>151</v>
      </c>
      <c r="D623" s="356" t="s">
        <v>120</v>
      </c>
      <c r="E623" s="246">
        <v>10000</v>
      </c>
      <c r="F623" s="246"/>
      <c r="G623" s="182"/>
      <c r="H623" s="207">
        <f t="shared" si="12"/>
        <v>19000</v>
      </c>
      <c r="I623" s="223" t="s">
        <v>322</v>
      </c>
      <c r="J623" s="223" t="s">
        <v>3302</v>
      </c>
      <c r="K623" s="185"/>
    </row>
    <row r="624" spans="1:11" ht="15.6">
      <c r="A624" s="330">
        <v>45917</v>
      </c>
      <c r="B624" s="356" t="s">
        <v>3289</v>
      </c>
      <c r="C624" s="356" t="s">
        <v>151</v>
      </c>
      <c r="D624" s="356" t="s">
        <v>120</v>
      </c>
      <c r="E624" s="246"/>
      <c r="F624" s="246">
        <v>10000</v>
      </c>
      <c r="G624" s="182"/>
      <c r="H624" s="207">
        <f t="shared" si="12"/>
        <v>9000</v>
      </c>
      <c r="I624" s="223" t="s">
        <v>322</v>
      </c>
      <c r="J624" s="223" t="s">
        <v>3302</v>
      </c>
      <c r="K624" s="185"/>
    </row>
    <row r="625" spans="1:11" ht="15.6">
      <c r="A625" s="330">
        <v>45918</v>
      </c>
      <c r="B625" s="223" t="s">
        <v>3290</v>
      </c>
      <c r="C625" s="223" t="s">
        <v>173</v>
      </c>
      <c r="D625" s="223" t="s">
        <v>120</v>
      </c>
      <c r="E625" s="246"/>
      <c r="F625" s="246">
        <v>1000</v>
      </c>
      <c r="G625" s="182"/>
      <c r="H625" s="207">
        <f t="shared" si="12"/>
        <v>8000</v>
      </c>
      <c r="I625" s="223" t="s">
        <v>322</v>
      </c>
      <c r="J625" s="223" t="s">
        <v>3301</v>
      </c>
      <c r="K625" s="185"/>
    </row>
    <row r="626" spans="1:11" ht="15.6">
      <c r="A626" s="330">
        <v>45918</v>
      </c>
      <c r="B626" s="223" t="s">
        <v>3291</v>
      </c>
      <c r="C626" s="223" t="s">
        <v>173</v>
      </c>
      <c r="D626" s="223" t="s">
        <v>120</v>
      </c>
      <c r="E626" s="246"/>
      <c r="F626" s="246">
        <v>1000</v>
      </c>
      <c r="G626" s="182"/>
      <c r="H626" s="207">
        <f t="shared" si="12"/>
        <v>7000</v>
      </c>
      <c r="I626" s="223" t="s">
        <v>322</v>
      </c>
      <c r="J626" s="223" t="s">
        <v>3301</v>
      </c>
      <c r="K626" s="185"/>
    </row>
    <row r="627" spans="1:11" ht="15.6">
      <c r="A627" s="330">
        <v>45918</v>
      </c>
      <c r="B627" s="223" t="s">
        <v>3292</v>
      </c>
      <c r="C627" s="223" t="s">
        <v>173</v>
      </c>
      <c r="D627" s="223" t="s">
        <v>120</v>
      </c>
      <c r="E627" s="246"/>
      <c r="F627" s="246">
        <v>1000</v>
      </c>
      <c r="G627" s="182"/>
      <c r="H627" s="207">
        <f t="shared" si="12"/>
        <v>6000</v>
      </c>
      <c r="I627" s="223" t="s">
        <v>322</v>
      </c>
      <c r="J627" s="223" t="s">
        <v>3301</v>
      </c>
      <c r="K627" s="185"/>
    </row>
    <row r="628" spans="1:11" ht="15.6">
      <c r="A628" s="330">
        <v>45918</v>
      </c>
      <c r="B628" s="223" t="s">
        <v>3293</v>
      </c>
      <c r="C628" s="223" t="s">
        <v>173</v>
      </c>
      <c r="D628" s="223" t="s">
        <v>120</v>
      </c>
      <c r="E628" s="246"/>
      <c r="F628" s="246">
        <v>1000</v>
      </c>
      <c r="G628" s="182"/>
      <c r="H628" s="207">
        <f t="shared" si="12"/>
        <v>5000</v>
      </c>
      <c r="I628" s="223" t="s">
        <v>322</v>
      </c>
      <c r="J628" s="223" t="s">
        <v>3301</v>
      </c>
      <c r="K628" s="185"/>
    </row>
    <row r="629" spans="1:11" ht="15.6">
      <c r="A629" s="330">
        <v>45923</v>
      </c>
      <c r="B629" s="223" t="s">
        <v>3294</v>
      </c>
      <c r="C629" s="223" t="s">
        <v>173</v>
      </c>
      <c r="D629" s="223" t="s">
        <v>120</v>
      </c>
      <c r="E629" s="246"/>
      <c r="F629" s="246">
        <v>2000</v>
      </c>
      <c r="G629" s="182"/>
      <c r="H629" s="207">
        <f t="shared" si="12"/>
        <v>3000</v>
      </c>
      <c r="I629" s="223" t="s">
        <v>322</v>
      </c>
      <c r="J629" s="223" t="s">
        <v>3301</v>
      </c>
      <c r="K629" s="185"/>
    </row>
    <row r="630" spans="1:11" ht="15.6">
      <c r="A630" s="330">
        <v>45923</v>
      </c>
      <c r="B630" s="223" t="s">
        <v>3295</v>
      </c>
      <c r="C630" s="223" t="s">
        <v>173</v>
      </c>
      <c r="D630" s="223" t="s">
        <v>120</v>
      </c>
      <c r="E630" s="246"/>
      <c r="F630" s="246">
        <v>1000</v>
      </c>
      <c r="G630" s="182"/>
      <c r="H630" s="207">
        <f t="shared" si="12"/>
        <v>2000</v>
      </c>
      <c r="I630" s="223" t="s">
        <v>322</v>
      </c>
      <c r="J630" s="223" t="s">
        <v>3301</v>
      </c>
      <c r="K630" s="185"/>
    </row>
    <row r="631" spans="1:11" ht="15.6">
      <c r="A631" s="330">
        <v>45923</v>
      </c>
      <c r="B631" s="223" t="s">
        <v>3296</v>
      </c>
      <c r="C631" s="223" t="s">
        <v>173</v>
      </c>
      <c r="D631" s="223" t="s">
        <v>120</v>
      </c>
      <c r="E631" s="246"/>
      <c r="F631" s="246">
        <v>1000</v>
      </c>
      <c r="G631" s="182"/>
      <c r="H631" s="207">
        <f t="shared" si="12"/>
        <v>1000</v>
      </c>
      <c r="I631" s="223" t="s">
        <v>322</v>
      </c>
      <c r="J631" s="223" t="s">
        <v>3301</v>
      </c>
      <c r="K631" s="185"/>
    </row>
    <row r="632" spans="1:11" ht="15.6">
      <c r="A632" s="330">
        <v>45924</v>
      </c>
      <c r="B632" s="223" t="s">
        <v>2545</v>
      </c>
      <c r="C632" s="223" t="s">
        <v>123</v>
      </c>
      <c r="D632" s="223" t="s">
        <v>120</v>
      </c>
      <c r="E632" s="246">
        <v>10000</v>
      </c>
      <c r="F632" s="246"/>
      <c r="G632" s="182"/>
      <c r="H632" s="207">
        <f t="shared" si="12"/>
        <v>11000</v>
      </c>
      <c r="I632" s="223" t="s">
        <v>322</v>
      </c>
      <c r="J632" s="223" t="s">
        <v>3303</v>
      </c>
      <c r="K632" s="185"/>
    </row>
    <row r="633" spans="1:11" ht="15.6">
      <c r="A633" s="330">
        <v>45929</v>
      </c>
      <c r="B633" s="356" t="s">
        <v>3297</v>
      </c>
      <c r="C633" s="356" t="s">
        <v>151</v>
      </c>
      <c r="D633" s="356" t="s">
        <v>120</v>
      </c>
      <c r="E633" s="246">
        <v>10000</v>
      </c>
      <c r="F633" s="246"/>
      <c r="G633" s="182"/>
      <c r="H633" s="207">
        <f t="shared" si="12"/>
        <v>21000</v>
      </c>
      <c r="I633" s="223" t="s">
        <v>322</v>
      </c>
      <c r="J633" s="223" t="s">
        <v>3304</v>
      </c>
      <c r="K633" s="185"/>
    </row>
    <row r="634" spans="1:11" ht="15.6">
      <c r="A634" s="330">
        <v>45929</v>
      </c>
      <c r="B634" s="356" t="s">
        <v>3297</v>
      </c>
      <c r="C634" s="356" t="s">
        <v>151</v>
      </c>
      <c r="D634" s="356" t="s">
        <v>120</v>
      </c>
      <c r="E634" s="246"/>
      <c r="F634" s="246">
        <v>10000</v>
      </c>
      <c r="G634" s="182"/>
      <c r="H634" s="207">
        <f t="shared" si="12"/>
        <v>11000</v>
      </c>
      <c r="I634" s="223" t="s">
        <v>322</v>
      </c>
      <c r="J634" s="223" t="s">
        <v>3304</v>
      </c>
      <c r="K634" s="185"/>
    </row>
    <row r="635" spans="1:11">
      <c r="A635" s="209"/>
      <c r="B635" s="205"/>
      <c r="C635" s="205"/>
      <c r="D635" s="205"/>
      <c r="E635" s="210">
        <f>SUM(E606:E634)</f>
        <v>70000</v>
      </c>
      <c r="F635" s="210">
        <f>SUM(F606:F634)</f>
        <v>62000</v>
      </c>
      <c r="G635" s="210"/>
      <c r="H635" s="238">
        <f>H605+E635-F635</f>
        <v>11000</v>
      </c>
      <c r="I635" s="205"/>
      <c r="J635" s="205"/>
      <c r="K635" s="205"/>
    </row>
    <row r="636" spans="1:11" ht="15.6">
      <c r="A636" s="187"/>
      <c r="B636" s="185"/>
      <c r="C636" s="188" t="s">
        <v>458</v>
      </c>
      <c r="D636" s="185"/>
      <c r="E636" s="189"/>
      <c r="F636" s="189"/>
      <c r="G636" s="189"/>
      <c r="H636" s="190"/>
      <c r="I636" s="185"/>
      <c r="J636" s="185"/>
      <c r="K636" s="185"/>
    </row>
    <row r="637" spans="1:11" ht="15.6">
      <c r="A637" s="187"/>
      <c r="B637" s="185"/>
      <c r="C637" s="185"/>
      <c r="D637" s="185"/>
      <c r="E637" s="189"/>
      <c r="F637" s="189"/>
      <c r="G637" s="189"/>
      <c r="H637" s="190"/>
      <c r="I637" s="185"/>
      <c r="J637" s="185"/>
      <c r="K637" s="185"/>
    </row>
    <row r="638" spans="1:11" ht="15.6">
      <c r="A638" s="191" t="s">
        <v>0</v>
      </c>
      <c r="B638" s="192" t="s">
        <v>445</v>
      </c>
      <c r="C638" s="192" t="s">
        <v>446</v>
      </c>
      <c r="D638" s="192" t="s">
        <v>447</v>
      </c>
      <c r="E638" s="193" t="s">
        <v>448</v>
      </c>
      <c r="F638" s="193" t="s">
        <v>449</v>
      </c>
      <c r="G638" s="193"/>
      <c r="H638" s="194" t="s">
        <v>30</v>
      </c>
      <c r="I638" s="192" t="s">
        <v>450</v>
      </c>
      <c r="J638" s="192" t="s">
        <v>451</v>
      </c>
      <c r="K638" s="195"/>
    </row>
    <row r="639" spans="1:11" ht="15.6">
      <c r="A639" s="146">
        <v>45901</v>
      </c>
      <c r="B639" s="179" t="s">
        <v>3633</v>
      </c>
      <c r="C639" s="179"/>
      <c r="D639" s="179"/>
      <c r="E639" s="182"/>
      <c r="F639" s="182"/>
      <c r="G639" s="182"/>
      <c r="H639" s="211">
        <v>18950</v>
      </c>
      <c r="I639" s="179" t="s">
        <v>189</v>
      </c>
      <c r="J639" s="179"/>
      <c r="K639" s="185"/>
    </row>
    <row r="640" spans="1:11" ht="15.6">
      <c r="A640" s="355">
        <v>45901</v>
      </c>
      <c r="B640" s="223" t="s">
        <v>3305</v>
      </c>
      <c r="C640" s="223" t="s">
        <v>151</v>
      </c>
      <c r="D640" s="223" t="s">
        <v>116</v>
      </c>
      <c r="E640" s="244">
        <v>7500</v>
      </c>
      <c r="F640" s="324"/>
      <c r="G640" s="221"/>
      <c r="H640" s="225">
        <f t="shared" ref="H640:H675" si="13">+H639+E640-F640</f>
        <v>26450</v>
      </c>
      <c r="I640" s="181" t="s">
        <v>189</v>
      </c>
      <c r="J640" s="181" t="s">
        <v>3323</v>
      </c>
      <c r="K640" s="185"/>
    </row>
    <row r="641" spans="1:11" ht="15.6">
      <c r="A641" s="355">
        <v>45901</v>
      </c>
      <c r="B641" s="223" t="s">
        <v>3305</v>
      </c>
      <c r="C641" s="223" t="s">
        <v>151</v>
      </c>
      <c r="D641" s="223" t="s">
        <v>116</v>
      </c>
      <c r="E641" s="244"/>
      <c r="F641" s="324">
        <v>7500</v>
      </c>
      <c r="G641" s="221"/>
      <c r="H641" s="225">
        <f t="shared" si="13"/>
        <v>18950</v>
      </c>
      <c r="I641" s="181" t="s">
        <v>189</v>
      </c>
      <c r="J641" s="181" t="s">
        <v>3323</v>
      </c>
      <c r="K641" s="185"/>
    </row>
    <row r="642" spans="1:11" ht="15.6">
      <c r="A642" s="330">
        <v>45902</v>
      </c>
      <c r="B642" s="223" t="s">
        <v>3306</v>
      </c>
      <c r="C642" s="223" t="s">
        <v>173</v>
      </c>
      <c r="D642" s="223" t="s">
        <v>116</v>
      </c>
      <c r="E642" s="312"/>
      <c r="F642" s="313">
        <v>500</v>
      </c>
      <c r="G642" s="221"/>
      <c r="H642" s="225">
        <f t="shared" si="13"/>
        <v>18450</v>
      </c>
      <c r="I642" s="223" t="s">
        <v>189</v>
      </c>
      <c r="J642" s="223" t="s">
        <v>3324</v>
      </c>
      <c r="K642" s="185"/>
    </row>
    <row r="643" spans="1:11" ht="15.6">
      <c r="A643" s="330">
        <v>45902</v>
      </c>
      <c r="B643" s="223" t="s">
        <v>2603</v>
      </c>
      <c r="C643" s="223" t="s">
        <v>173</v>
      </c>
      <c r="D643" s="223" t="s">
        <v>116</v>
      </c>
      <c r="E643" s="312"/>
      <c r="F643" s="313">
        <v>500</v>
      </c>
      <c r="G643" s="221"/>
      <c r="H643" s="225">
        <f t="shared" si="13"/>
        <v>17950</v>
      </c>
      <c r="I643" s="223" t="s">
        <v>189</v>
      </c>
      <c r="J643" s="223" t="s">
        <v>3324</v>
      </c>
      <c r="K643" s="185"/>
    </row>
    <row r="644" spans="1:11" ht="15.6">
      <c r="A644" s="330">
        <v>45902</v>
      </c>
      <c r="B644" s="181" t="s">
        <v>3307</v>
      </c>
      <c r="C644" s="223" t="s">
        <v>181</v>
      </c>
      <c r="D644" s="223" t="s">
        <v>117</v>
      </c>
      <c r="E644" s="324">
        <v>7950</v>
      </c>
      <c r="F644" s="313"/>
      <c r="G644" s="221"/>
      <c r="H644" s="225">
        <f t="shared" si="13"/>
        <v>25900</v>
      </c>
      <c r="I644" s="223" t="s">
        <v>189</v>
      </c>
      <c r="J644" s="181" t="s">
        <v>3325</v>
      </c>
      <c r="K644" s="185"/>
    </row>
    <row r="645" spans="1:11" ht="15.6">
      <c r="A645" s="330">
        <v>45902</v>
      </c>
      <c r="B645" s="181" t="s">
        <v>3307</v>
      </c>
      <c r="C645" s="223" t="s">
        <v>181</v>
      </c>
      <c r="D645" s="223" t="s">
        <v>117</v>
      </c>
      <c r="E645" s="312"/>
      <c r="F645" s="324">
        <v>7950</v>
      </c>
      <c r="G645" s="221"/>
      <c r="H645" s="225">
        <f t="shared" si="13"/>
        <v>17950</v>
      </c>
      <c r="I645" s="223" t="s">
        <v>189</v>
      </c>
      <c r="J645" s="181" t="s">
        <v>3325</v>
      </c>
      <c r="K645" s="185"/>
    </row>
    <row r="646" spans="1:11" ht="15.6">
      <c r="A646" s="330">
        <v>45905</v>
      </c>
      <c r="B646" s="223" t="s">
        <v>3306</v>
      </c>
      <c r="C646" s="223" t="s">
        <v>173</v>
      </c>
      <c r="D646" s="223" t="s">
        <v>116</v>
      </c>
      <c r="E646" s="312"/>
      <c r="F646" s="313">
        <v>500</v>
      </c>
      <c r="G646" s="221"/>
      <c r="H646" s="225">
        <f t="shared" si="13"/>
        <v>17450</v>
      </c>
      <c r="I646" s="223" t="s">
        <v>189</v>
      </c>
      <c r="J646" s="223" t="s">
        <v>3324</v>
      </c>
      <c r="K646" s="185"/>
    </row>
    <row r="647" spans="1:11" ht="15.6">
      <c r="A647" s="330">
        <v>45905</v>
      </c>
      <c r="B647" s="223" t="s">
        <v>3308</v>
      </c>
      <c r="C647" s="223" t="s">
        <v>173</v>
      </c>
      <c r="D647" s="223" t="s">
        <v>116</v>
      </c>
      <c r="E647" s="312"/>
      <c r="F647" s="313">
        <v>500</v>
      </c>
      <c r="G647" s="221"/>
      <c r="H647" s="225">
        <f t="shared" si="13"/>
        <v>16950</v>
      </c>
      <c r="I647" s="223" t="s">
        <v>189</v>
      </c>
      <c r="J647" s="223" t="s">
        <v>3324</v>
      </c>
      <c r="K647" s="185"/>
    </row>
    <row r="648" spans="1:11" ht="15.6">
      <c r="A648" s="330">
        <v>45905</v>
      </c>
      <c r="B648" s="223" t="s">
        <v>3309</v>
      </c>
      <c r="C648" s="223" t="s">
        <v>173</v>
      </c>
      <c r="D648" s="223" t="s">
        <v>116</v>
      </c>
      <c r="E648" s="312"/>
      <c r="F648" s="313">
        <v>1000</v>
      </c>
      <c r="G648" s="221"/>
      <c r="H648" s="225">
        <f t="shared" si="13"/>
        <v>15950</v>
      </c>
      <c r="I648" s="223" t="s">
        <v>189</v>
      </c>
      <c r="J648" s="223" t="s">
        <v>3324</v>
      </c>
      <c r="K648" s="185"/>
    </row>
    <row r="649" spans="1:11" ht="15.6">
      <c r="A649" s="330">
        <v>45905</v>
      </c>
      <c r="B649" s="223" t="s">
        <v>3310</v>
      </c>
      <c r="C649" s="223" t="s">
        <v>173</v>
      </c>
      <c r="D649" s="223" t="s">
        <v>116</v>
      </c>
      <c r="E649" s="312"/>
      <c r="F649" s="313">
        <v>1000</v>
      </c>
      <c r="G649" s="221"/>
      <c r="H649" s="225">
        <f t="shared" si="13"/>
        <v>14950</v>
      </c>
      <c r="I649" s="223" t="s">
        <v>189</v>
      </c>
      <c r="J649" s="223" t="s">
        <v>3324</v>
      </c>
      <c r="K649" s="185"/>
    </row>
    <row r="650" spans="1:11" ht="15.6">
      <c r="A650" s="355">
        <v>45905</v>
      </c>
      <c r="B650" s="181" t="s">
        <v>3311</v>
      </c>
      <c r="C650" s="223" t="s">
        <v>181</v>
      </c>
      <c r="D650" s="223" t="s">
        <v>117</v>
      </c>
      <c r="E650" s="324">
        <v>14790</v>
      </c>
      <c r="F650" s="313"/>
      <c r="G650" s="221"/>
      <c r="H650" s="225">
        <f t="shared" si="13"/>
        <v>29740</v>
      </c>
      <c r="I650" s="223" t="s">
        <v>189</v>
      </c>
      <c r="J650" s="181" t="s">
        <v>3326</v>
      </c>
      <c r="K650" s="185"/>
    </row>
    <row r="651" spans="1:11" ht="15.6">
      <c r="A651" s="355">
        <v>45905</v>
      </c>
      <c r="B651" s="181" t="s">
        <v>3311</v>
      </c>
      <c r="C651" s="223" t="s">
        <v>181</v>
      </c>
      <c r="D651" s="223" t="s">
        <v>117</v>
      </c>
      <c r="E651" s="324"/>
      <c r="F651" s="324">
        <v>14790</v>
      </c>
      <c r="G651" s="221"/>
      <c r="H651" s="225">
        <f t="shared" si="13"/>
        <v>14950</v>
      </c>
      <c r="I651" s="223" t="s">
        <v>189</v>
      </c>
      <c r="J651" s="181" t="s">
        <v>3326</v>
      </c>
      <c r="K651" s="185"/>
    </row>
    <row r="652" spans="1:11" ht="15.6">
      <c r="A652" s="330">
        <v>45905</v>
      </c>
      <c r="B652" s="223" t="s">
        <v>3306</v>
      </c>
      <c r="C652" s="223" t="s">
        <v>173</v>
      </c>
      <c r="D652" s="223" t="s">
        <v>116</v>
      </c>
      <c r="E652" s="312"/>
      <c r="F652" s="313">
        <v>500</v>
      </c>
      <c r="G652" s="221"/>
      <c r="H652" s="225">
        <f t="shared" si="13"/>
        <v>14450</v>
      </c>
      <c r="I652" s="223" t="s">
        <v>189</v>
      </c>
      <c r="J652" s="223" t="s">
        <v>3324</v>
      </c>
      <c r="K652" s="185"/>
    </row>
    <row r="653" spans="1:11" ht="15.6">
      <c r="A653" s="330">
        <v>45905</v>
      </c>
      <c r="B653" s="223" t="s">
        <v>3308</v>
      </c>
      <c r="C653" s="223" t="s">
        <v>173</v>
      </c>
      <c r="D653" s="223" t="s">
        <v>116</v>
      </c>
      <c r="E653" s="312"/>
      <c r="F653" s="313">
        <v>500</v>
      </c>
      <c r="G653" s="221"/>
      <c r="H653" s="225">
        <f t="shared" si="13"/>
        <v>13950</v>
      </c>
      <c r="I653" s="223" t="s">
        <v>189</v>
      </c>
      <c r="J653" s="223" t="s">
        <v>3324</v>
      </c>
      <c r="K653" s="185"/>
    </row>
    <row r="654" spans="1:11" ht="15.6">
      <c r="A654" s="330">
        <v>45908</v>
      </c>
      <c r="B654" s="223" t="s">
        <v>3312</v>
      </c>
      <c r="C654" s="223" t="s">
        <v>173</v>
      </c>
      <c r="D654" s="223" t="s">
        <v>116</v>
      </c>
      <c r="E654" s="312"/>
      <c r="F654" s="313">
        <v>1000</v>
      </c>
      <c r="G654" s="221"/>
      <c r="H654" s="225">
        <f t="shared" si="13"/>
        <v>12950</v>
      </c>
      <c r="I654" s="223" t="s">
        <v>189</v>
      </c>
      <c r="J654" s="223" t="s">
        <v>3324</v>
      </c>
      <c r="K654" s="185"/>
    </row>
    <row r="655" spans="1:11" ht="15.6">
      <c r="A655" s="330">
        <v>45908</v>
      </c>
      <c r="B655" s="223" t="s">
        <v>3313</v>
      </c>
      <c r="C655" s="223" t="s">
        <v>173</v>
      </c>
      <c r="D655" s="223" t="s">
        <v>116</v>
      </c>
      <c r="E655" s="312"/>
      <c r="F655" s="313">
        <v>1000</v>
      </c>
      <c r="G655" s="221"/>
      <c r="H655" s="225">
        <f t="shared" si="13"/>
        <v>11950</v>
      </c>
      <c r="I655" s="223" t="s">
        <v>189</v>
      </c>
      <c r="J655" s="223" t="s">
        <v>3324</v>
      </c>
      <c r="K655" s="185"/>
    </row>
    <row r="656" spans="1:11" ht="15.6">
      <c r="A656" s="330">
        <v>45908</v>
      </c>
      <c r="B656" s="223" t="s">
        <v>3314</v>
      </c>
      <c r="C656" s="223" t="s">
        <v>151</v>
      </c>
      <c r="D656" s="223" t="s">
        <v>116</v>
      </c>
      <c r="E656" s="312">
        <v>7500</v>
      </c>
      <c r="F656" s="313"/>
      <c r="G656" s="221"/>
      <c r="H656" s="225">
        <f t="shared" si="13"/>
        <v>19450</v>
      </c>
      <c r="I656" s="223" t="s">
        <v>189</v>
      </c>
      <c r="J656" s="181" t="s">
        <v>3327</v>
      </c>
      <c r="K656" s="185"/>
    </row>
    <row r="657" spans="1:11" ht="15.6">
      <c r="A657" s="330">
        <v>45908</v>
      </c>
      <c r="B657" s="223" t="s">
        <v>3314</v>
      </c>
      <c r="C657" s="223" t="s">
        <v>151</v>
      </c>
      <c r="D657" s="223" t="s">
        <v>116</v>
      </c>
      <c r="E657" s="312"/>
      <c r="F657" s="313">
        <v>7500</v>
      </c>
      <c r="G657" s="221"/>
      <c r="H657" s="225">
        <f t="shared" si="13"/>
        <v>11950</v>
      </c>
      <c r="I657" s="223" t="s">
        <v>189</v>
      </c>
      <c r="J657" s="181" t="s">
        <v>3327</v>
      </c>
      <c r="K657" s="185"/>
    </row>
    <row r="658" spans="1:11" ht="15.6">
      <c r="A658" s="355">
        <v>45908</v>
      </c>
      <c r="B658" s="223" t="s">
        <v>3315</v>
      </c>
      <c r="C658" s="223" t="s">
        <v>171</v>
      </c>
      <c r="D658" s="223" t="s">
        <v>117</v>
      </c>
      <c r="E658" s="324">
        <v>31250</v>
      </c>
      <c r="F658" s="313"/>
      <c r="G658" s="221"/>
      <c r="H658" s="225">
        <f t="shared" si="13"/>
        <v>43200</v>
      </c>
      <c r="I658" s="223" t="s">
        <v>189</v>
      </c>
      <c r="J658" s="181" t="s">
        <v>3328</v>
      </c>
      <c r="K658" s="185"/>
    </row>
    <row r="659" spans="1:11" ht="15.6">
      <c r="A659" s="355">
        <v>45908</v>
      </c>
      <c r="B659" s="223" t="s">
        <v>3315</v>
      </c>
      <c r="C659" s="223" t="s">
        <v>171</v>
      </c>
      <c r="D659" s="223" t="s">
        <v>117</v>
      </c>
      <c r="E659" s="324"/>
      <c r="F659" s="324">
        <v>31250</v>
      </c>
      <c r="G659" s="221"/>
      <c r="H659" s="225">
        <f t="shared" si="13"/>
        <v>11950</v>
      </c>
      <c r="I659" s="223" t="s">
        <v>189</v>
      </c>
      <c r="J659" s="181" t="s">
        <v>3328</v>
      </c>
      <c r="K659" s="185"/>
    </row>
    <row r="660" spans="1:11" ht="15.6">
      <c r="A660" s="330">
        <v>45915</v>
      </c>
      <c r="B660" s="223" t="s">
        <v>3306</v>
      </c>
      <c r="C660" s="223" t="s">
        <v>173</v>
      </c>
      <c r="D660" s="223" t="s">
        <v>116</v>
      </c>
      <c r="E660" s="312"/>
      <c r="F660" s="313">
        <v>500</v>
      </c>
      <c r="G660" s="221"/>
      <c r="H660" s="225">
        <f t="shared" si="13"/>
        <v>11450</v>
      </c>
      <c r="I660" s="223" t="s">
        <v>189</v>
      </c>
      <c r="J660" s="223" t="s">
        <v>3324</v>
      </c>
      <c r="K660" s="185"/>
    </row>
    <row r="661" spans="1:11" ht="15.6">
      <c r="A661" s="330">
        <v>45915</v>
      </c>
      <c r="B661" s="223" t="s">
        <v>3308</v>
      </c>
      <c r="C661" s="223" t="s">
        <v>173</v>
      </c>
      <c r="D661" s="223" t="s">
        <v>116</v>
      </c>
      <c r="E661" s="312"/>
      <c r="F661" s="313">
        <v>500</v>
      </c>
      <c r="G661" s="221"/>
      <c r="H661" s="225">
        <f t="shared" si="13"/>
        <v>10950</v>
      </c>
      <c r="I661" s="223" t="s">
        <v>189</v>
      </c>
      <c r="J661" s="223" t="s">
        <v>3324</v>
      </c>
      <c r="K661" s="185"/>
    </row>
    <row r="662" spans="1:11" ht="15.6">
      <c r="A662" s="355">
        <v>45915</v>
      </c>
      <c r="B662" s="181" t="s">
        <v>2358</v>
      </c>
      <c r="C662" s="223" t="s">
        <v>181</v>
      </c>
      <c r="D662" s="223" t="s">
        <v>117</v>
      </c>
      <c r="E662" s="324">
        <v>3600</v>
      </c>
      <c r="F662" s="313"/>
      <c r="G662" s="221"/>
      <c r="H662" s="225">
        <f t="shared" si="13"/>
        <v>14550</v>
      </c>
      <c r="I662" s="223" t="s">
        <v>189</v>
      </c>
      <c r="J662" s="181" t="s">
        <v>3329</v>
      </c>
      <c r="K662" s="185"/>
    </row>
    <row r="663" spans="1:11" ht="15.6">
      <c r="A663" s="355">
        <v>45915</v>
      </c>
      <c r="B663" s="181" t="s">
        <v>2358</v>
      </c>
      <c r="C663" s="223" t="s">
        <v>181</v>
      </c>
      <c r="D663" s="223" t="s">
        <v>117</v>
      </c>
      <c r="E663" s="324"/>
      <c r="F663" s="324">
        <v>3600</v>
      </c>
      <c r="G663" s="221"/>
      <c r="H663" s="225">
        <f t="shared" si="13"/>
        <v>10950</v>
      </c>
      <c r="I663" s="223" t="s">
        <v>189</v>
      </c>
      <c r="J663" s="181" t="s">
        <v>3329</v>
      </c>
      <c r="K663" s="185"/>
    </row>
    <row r="664" spans="1:11" ht="15.6">
      <c r="A664" s="330">
        <v>45917</v>
      </c>
      <c r="B664" s="223" t="s">
        <v>3316</v>
      </c>
      <c r="C664" s="223" t="s">
        <v>151</v>
      </c>
      <c r="D664" s="223" t="s">
        <v>116</v>
      </c>
      <c r="E664" s="312">
        <v>7500</v>
      </c>
      <c r="F664" s="313"/>
      <c r="G664" s="221"/>
      <c r="H664" s="225">
        <f t="shared" si="13"/>
        <v>18450</v>
      </c>
      <c r="I664" s="223" t="s">
        <v>189</v>
      </c>
      <c r="J664" s="181" t="s">
        <v>3330</v>
      </c>
      <c r="K664" s="185"/>
    </row>
    <row r="665" spans="1:11" ht="15.6">
      <c r="A665" s="330">
        <v>45917</v>
      </c>
      <c r="B665" s="223" t="s">
        <v>3316</v>
      </c>
      <c r="C665" s="223" t="s">
        <v>151</v>
      </c>
      <c r="D665" s="223" t="s">
        <v>116</v>
      </c>
      <c r="E665" s="312"/>
      <c r="F665" s="313">
        <v>7500</v>
      </c>
      <c r="G665" s="221"/>
      <c r="H665" s="225">
        <f t="shared" si="13"/>
        <v>10950</v>
      </c>
      <c r="I665" s="223" t="s">
        <v>189</v>
      </c>
      <c r="J665" s="181" t="s">
        <v>3330</v>
      </c>
      <c r="K665" s="185"/>
    </row>
    <row r="666" spans="1:11" ht="15.6">
      <c r="A666" s="330">
        <v>45918</v>
      </c>
      <c r="B666" s="223" t="s">
        <v>3317</v>
      </c>
      <c r="C666" s="223" t="s">
        <v>173</v>
      </c>
      <c r="D666" s="223" t="s">
        <v>116</v>
      </c>
      <c r="E666" s="312"/>
      <c r="F666" s="313">
        <v>1000</v>
      </c>
      <c r="G666" s="221"/>
      <c r="H666" s="225">
        <f t="shared" si="13"/>
        <v>9950</v>
      </c>
      <c r="I666" s="223" t="s">
        <v>189</v>
      </c>
      <c r="J666" s="223" t="s">
        <v>3324</v>
      </c>
      <c r="K666" s="185"/>
    </row>
    <row r="667" spans="1:11" ht="15.6">
      <c r="A667" s="330">
        <v>45918</v>
      </c>
      <c r="B667" s="223" t="s">
        <v>3318</v>
      </c>
      <c r="C667" s="223" t="s">
        <v>173</v>
      </c>
      <c r="D667" s="223" t="s">
        <v>116</v>
      </c>
      <c r="E667" s="312"/>
      <c r="F667" s="313">
        <v>2000</v>
      </c>
      <c r="G667" s="221"/>
      <c r="H667" s="225">
        <f t="shared" si="13"/>
        <v>7950</v>
      </c>
      <c r="I667" s="223" t="s">
        <v>189</v>
      </c>
      <c r="J667" s="223" t="s">
        <v>3324</v>
      </c>
      <c r="K667" s="185"/>
    </row>
    <row r="668" spans="1:11" ht="15.6">
      <c r="A668" s="330">
        <v>45919</v>
      </c>
      <c r="B668" s="223" t="s">
        <v>3319</v>
      </c>
      <c r="C668" s="223" t="s">
        <v>173</v>
      </c>
      <c r="D668" s="223" t="s">
        <v>116</v>
      </c>
      <c r="E668" s="312"/>
      <c r="F668" s="313">
        <v>2000</v>
      </c>
      <c r="G668" s="221"/>
      <c r="H668" s="225">
        <f t="shared" si="13"/>
        <v>5950</v>
      </c>
      <c r="I668" s="223" t="s">
        <v>189</v>
      </c>
      <c r="J668" s="223" t="s">
        <v>3324</v>
      </c>
      <c r="K668" s="185"/>
    </row>
    <row r="669" spans="1:11" ht="15.6">
      <c r="A669" s="330">
        <v>45919</v>
      </c>
      <c r="B669" s="223" t="s">
        <v>3320</v>
      </c>
      <c r="C669" s="223" t="s">
        <v>173</v>
      </c>
      <c r="D669" s="223" t="s">
        <v>116</v>
      </c>
      <c r="E669" s="312"/>
      <c r="F669" s="313">
        <v>1000</v>
      </c>
      <c r="G669" s="221"/>
      <c r="H669" s="225">
        <f t="shared" si="13"/>
        <v>4950</v>
      </c>
      <c r="I669" s="223" t="s">
        <v>189</v>
      </c>
      <c r="J669" s="223" t="s">
        <v>3324</v>
      </c>
      <c r="K669" s="185"/>
    </row>
    <row r="670" spans="1:11" ht="15.6">
      <c r="A670" s="330">
        <v>45919</v>
      </c>
      <c r="B670" s="223" t="s">
        <v>3321</v>
      </c>
      <c r="C670" s="223" t="s">
        <v>173</v>
      </c>
      <c r="D670" s="223" t="s">
        <v>116</v>
      </c>
      <c r="E670" s="312"/>
      <c r="F670" s="313">
        <v>1000</v>
      </c>
      <c r="G670" s="221"/>
      <c r="H670" s="225">
        <f t="shared" si="13"/>
        <v>3950</v>
      </c>
      <c r="I670" s="223" t="s">
        <v>189</v>
      </c>
      <c r="J670" s="223" t="s">
        <v>3324</v>
      </c>
      <c r="K670" s="185"/>
    </row>
    <row r="671" spans="1:11" ht="15.6">
      <c r="A671" s="330">
        <v>45919</v>
      </c>
      <c r="B671" s="223" t="s">
        <v>3310</v>
      </c>
      <c r="C671" s="223" t="s">
        <v>173</v>
      </c>
      <c r="D671" s="223" t="s">
        <v>116</v>
      </c>
      <c r="E671" s="312"/>
      <c r="F671" s="313">
        <v>1000</v>
      </c>
      <c r="G671" s="221"/>
      <c r="H671" s="225">
        <f t="shared" si="13"/>
        <v>2950</v>
      </c>
      <c r="I671" s="223" t="s">
        <v>189</v>
      </c>
      <c r="J671" s="223" t="s">
        <v>3324</v>
      </c>
      <c r="K671" s="185"/>
    </row>
    <row r="672" spans="1:11" ht="15.6">
      <c r="A672" s="355">
        <v>45923</v>
      </c>
      <c r="B672" s="181" t="s">
        <v>2365</v>
      </c>
      <c r="C672" s="223" t="s">
        <v>171</v>
      </c>
      <c r="D672" s="223" t="s">
        <v>117</v>
      </c>
      <c r="E672" s="324">
        <v>25000</v>
      </c>
      <c r="F672" s="313"/>
      <c r="G672" s="221"/>
      <c r="H672" s="225">
        <f t="shared" si="13"/>
        <v>27950</v>
      </c>
      <c r="I672" s="223" t="s">
        <v>189</v>
      </c>
      <c r="J672" s="181" t="s">
        <v>3331</v>
      </c>
      <c r="K672" s="185"/>
    </row>
    <row r="673" spans="1:11" ht="15.6">
      <c r="A673" s="355">
        <v>45923</v>
      </c>
      <c r="B673" s="181" t="s">
        <v>2365</v>
      </c>
      <c r="C673" s="223" t="s">
        <v>171</v>
      </c>
      <c r="D673" s="223" t="s">
        <v>117</v>
      </c>
      <c r="E673" s="324"/>
      <c r="F673" s="324">
        <v>25000</v>
      </c>
      <c r="G673" s="221"/>
      <c r="H673" s="225">
        <f t="shared" si="13"/>
        <v>2950</v>
      </c>
      <c r="I673" s="223" t="s">
        <v>189</v>
      </c>
      <c r="J673" s="181" t="s">
        <v>3331</v>
      </c>
      <c r="K673" s="185"/>
    </row>
    <row r="674" spans="1:11" ht="15.6">
      <c r="A674" s="330">
        <v>45929</v>
      </c>
      <c r="B674" s="223" t="s">
        <v>3322</v>
      </c>
      <c r="C674" s="223" t="s">
        <v>151</v>
      </c>
      <c r="D674" s="223" t="s">
        <v>116</v>
      </c>
      <c r="E674" s="312">
        <v>7500</v>
      </c>
      <c r="F674" s="313"/>
      <c r="G674" s="221"/>
      <c r="H674" s="225">
        <f t="shared" si="13"/>
        <v>10450</v>
      </c>
      <c r="I674" s="223" t="s">
        <v>189</v>
      </c>
      <c r="J674" s="181" t="s">
        <v>3332</v>
      </c>
      <c r="K674" s="185"/>
    </row>
    <row r="675" spans="1:11" ht="15.6">
      <c r="A675" s="330">
        <v>45929</v>
      </c>
      <c r="B675" s="223" t="s">
        <v>3322</v>
      </c>
      <c r="C675" s="223" t="s">
        <v>151</v>
      </c>
      <c r="D675" s="223" t="s">
        <v>116</v>
      </c>
      <c r="E675" s="312"/>
      <c r="F675" s="313">
        <v>7500</v>
      </c>
      <c r="G675" s="221"/>
      <c r="H675" s="225">
        <f t="shared" si="13"/>
        <v>2950</v>
      </c>
      <c r="I675" s="223" t="s">
        <v>189</v>
      </c>
      <c r="J675" s="181" t="s">
        <v>3332</v>
      </c>
      <c r="K675" s="185"/>
    </row>
    <row r="676" spans="1:11" ht="15.6">
      <c r="A676" s="180"/>
      <c r="B676" s="205"/>
      <c r="C676" s="205"/>
      <c r="D676" s="205"/>
      <c r="E676" s="149">
        <f>SUM(E640:E675)</f>
        <v>112590</v>
      </c>
      <c r="F676" s="149">
        <f>SUM(F640:F675)</f>
        <v>128590</v>
      </c>
      <c r="G676" s="149"/>
      <c r="H676" s="208">
        <f>E676-F676+H639</f>
        <v>2950</v>
      </c>
      <c r="I676" s="185"/>
      <c r="J676" s="185"/>
      <c r="K676" s="185"/>
    </row>
    <row r="677" spans="1:11" ht="15.6">
      <c r="A677" s="180"/>
      <c r="B677" s="205"/>
      <c r="C677" s="205"/>
      <c r="D677" s="205"/>
      <c r="E677" s="212"/>
      <c r="F677" s="189"/>
      <c r="G677" s="189"/>
      <c r="H677" s="208"/>
      <c r="I677" s="185"/>
      <c r="J677" s="185"/>
      <c r="K677" s="185"/>
    </row>
    <row r="678" spans="1:11" ht="15.6">
      <c r="A678" s="180"/>
      <c r="B678" s="205"/>
      <c r="C678" s="205"/>
      <c r="D678" s="205"/>
      <c r="E678" s="212"/>
      <c r="F678" s="189"/>
      <c r="G678" s="189"/>
      <c r="H678" s="208"/>
      <c r="I678" s="185"/>
      <c r="J678" s="185"/>
      <c r="K678" s="185"/>
    </row>
    <row r="679" spans="1:11" ht="15.6">
      <c r="A679" s="180"/>
      <c r="B679" s="586" t="s">
        <v>2189</v>
      </c>
      <c r="C679" s="586"/>
      <c r="D679" s="586"/>
      <c r="E679" s="586"/>
      <c r="F679" s="189"/>
      <c r="G679" s="189"/>
      <c r="H679" s="208"/>
      <c r="I679" s="185"/>
      <c r="J679" s="185"/>
      <c r="K679" s="185"/>
    </row>
    <row r="680" spans="1:11" ht="15.6">
      <c r="A680" s="187"/>
      <c r="B680" s="185"/>
      <c r="C680" s="185"/>
      <c r="D680" s="185"/>
      <c r="E680" s="189"/>
      <c r="F680" s="189"/>
      <c r="G680" s="189"/>
      <c r="H680" s="190"/>
      <c r="I680" s="185"/>
      <c r="J680" s="185"/>
      <c r="K680" s="185"/>
    </row>
    <row r="681" spans="1:11" ht="15.6">
      <c r="A681" s="191" t="s">
        <v>0</v>
      </c>
      <c r="B681" s="192" t="s">
        <v>445</v>
      </c>
      <c r="C681" s="192" t="s">
        <v>446</v>
      </c>
      <c r="D681" s="192" t="s">
        <v>447</v>
      </c>
      <c r="E681" s="193" t="s">
        <v>448</v>
      </c>
      <c r="F681" s="193" t="s">
        <v>449</v>
      </c>
      <c r="G681" s="193"/>
      <c r="H681" s="200" t="s">
        <v>30</v>
      </c>
      <c r="I681" s="192" t="s">
        <v>450</v>
      </c>
      <c r="J681" s="192" t="s">
        <v>451</v>
      </c>
      <c r="K681" s="195"/>
    </row>
    <row r="682" spans="1:11" ht="15.6">
      <c r="A682" s="146">
        <v>45901</v>
      </c>
      <c r="B682" s="179" t="s">
        <v>3632</v>
      </c>
      <c r="C682" s="179"/>
      <c r="D682" s="179"/>
      <c r="E682" s="182"/>
      <c r="F682" s="182"/>
      <c r="G682" s="249"/>
      <c r="H682" s="178">
        <v>77400</v>
      </c>
      <c r="I682" s="179" t="s">
        <v>192</v>
      </c>
      <c r="J682" s="179"/>
      <c r="K682" s="185"/>
    </row>
    <row r="683" spans="1:11" ht="15.6">
      <c r="A683" s="460">
        <v>45901</v>
      </c>
      <c r="B683" s="76" t="s">
        <v>3333</v>
      </c>
      <c r="C683" s="127" t="s">
        <v>173</v>
      </c>
      <c r="D683" s="127" t="s">
        <v>116</v>
      </c>
      <c r="E683" s="225"/>
      <c r="F683" s="218">
        <v>500</v>
      </c>
      <c r="G683" s="249"/>
      <c r="H683" s="358">
        <f>H682+E683-F683</f>
        <v>76900</v>
      </c>
      <c r="I683" s="127" t="s">
        <v>192</v>
      </c>
      <c r="J683" s="76" t="s">
        <v>3360</v>
      </c>
      <c r="K683" s="185"/>
    </row>
    <row r="684" spans="1:11" ht="15.6">
      <c r="A684" s="460">
        <v>45901</v>
      </c>
      <c r="B684" s="76" t="s">
        <v>3334</v>
      </c>
      <c r="C684" s="127" t="s">
        <v>173</v>
      </c>
      <c r="D684" s="127" t="s">
        <v>116</v>
      </c>
      <c r="E684" s="225"/>
      <c r="F684" s="218">
        <v>500</v>
      </c>
      <c r="G684" s="249"/>
      <c r="H684" s="358">
        <f t="shared" ref="H684:H722" si="14">H683+E684-F684</f>
        <v>76400</v>
      </c>
      <c r="I684" s="127" t="s">
        <v>192</v>
      </c>
      <c r="J684" s="76" t="s">
        <v>3360</v>
      </c>
      <c r="K684" s="185"/>
    </row>
    <row r="685" spans="1:11" ht="15.6">
      <c r="A685" s="460">
        <v>45901</v>
      </c>
      <c r="B685" s="76" t="s">
        <v>3335</v>
      </c>
      <c r="C685" s="76" t="s">
        <v>173</v>
      </c>
      <c r="D685" s="76" t="s">
        <v>116</v>
      </c>
      <c r="E685" s="220"/>
      <c r="F685" s="221">
        <v>37000</v>
      </c>
      <c r="G685" s="249"/>
      <c r="H685" s="358">
        <f t="shared" si="14"/>
        <v>39400</v>
      </c>
      <c r="I685" s="127" t="s">
        <v>192</v>
      </c>
      <c r="J685" s="76" t="s">
        <v>3361</v>
      </c>
      <c r="K685" s="185"/>
    </row>
    <row r="686" spans="1:11" ht="15.6">
      <c r="A686" s="460">
        <v>45901</v>
      </c>
      <c r="B686" s="76" t="s">
        <v>459</v>
      </c>
      <c r="C686" s="222" t="s">
        <v>123</v>
      </c>
      <c r="D686" s="76" t="s">
        <v>116</v>
      </c>
      <c r="E686" s="220">
        <v>150000</v>
      </c>
      <c r="F686" s="221"/>
      <c r="G686" s="249"/>
      <c r="H686" s="358">
        <f t="shared" si="14"/>
        <v>189400</v>
      </c>
      <c r="I686" s="127" t="s">
        <v>192</v>
      </c>
      <c r="J686" s="76" t="s">
        <v>3362</v>
      </c>
      <c r="K686" s="185"/>
    </row>
    <row r="687" spans="1:11" ht="15.6">
      <c r="A687" s="460">
        <v>45901</v>
      </c>
      <c r="B687" s="76" t="s">
        <v>3336</v>
      </c>
      <c r="C687" s="76" t="s">
        <v>176</v>
      </c>
      <c r="D687" s="76" t="s">
        <v>116</v>
      </c>
      <c r="E687" s="220"/>
      <c r="F687" s="221">
        <v>60000</v>
      </c>
      <c r="G687" s="249"/>
      <c r="H687" s="358">
        <f t="shared" si="14"/>
        <v>129400</v>
      </c>
      <c r="I687" s="127" t="s">
        <v>192</v>
      </c>
      <c r="J687" s="76" t="s">
        <v>3363</v>
      </c>
      <c r="K687" s="185"/>
    </row>
    <row r="688" spans="1:11" ht="15.6">
      <c r="A688" s="460">
        <v>45901</v>
      </c>
      <c r="B688" s="76" t="s">
        <v>3337</v>
      </c>
      <c r="C688" s="76" t="s">
        <v>151</v>
      </c>
      <c r="D688" s="76" t="s">
        <v>116</v>
      </c>
      <c r="E688" s="220">
        <v>7500</v>
      </c>
      <c r="F688" s="221"/>
      <c r="G688" s="249"/>
      <c r="H688" s="358">
        <f t="shared" si="14"/>
        <v>136900</v>
      </c>
      <c r="I688" s="127" t="s">
        <v>192</v>
      </c>
      <c r="J688" s="76" t="s">
        <v>3364</v>
      </c>
      <c r="K688" s="185"/>
    </row>
    <row r="689" spans="1:11" ht="15.6">
      <c r="A689" s="460">
        <v>45901</v>
      </c>
      <c r="B689" s="76" t="s">
        <v>3337</v>
      </c>
      <c r="C689" s="76" t="s">
        <v>151</v>
      </c>
      <c r="D689" s="76" t="s">
        <v>116</v>
      </c>
      <c r="E689" s="220"/>
      <c r="F689" s="221">
        <v>7500</v>
      </c>
      <c r="G689" s="249"/>
      <c r="H689" s="358">
        <f t="shared" si="14"/>
        <v>129400</v>
      </c>
      <c r="I689" s="127" t="s">
        <v>192</v>
      </c>
      <c r="J689" s="76" t="s">
        <v>3364</v>
      </c>
      <c r="K689" s="185"/>
    </row>
    <row r="690" spans="1:11" ht="15.6">
      <c r="A690" s="460">
        <v>45902</v>
      </c>
      <c r="B690" s="76" t="s">
        <v>3338</v>
      </c>
      <c r="C690" s="76" t="s">
        <v>173</v>
      </c>
      <c r="D690" s="76" t="s">
        <v>116</v>
      </c>
      <c r="E690" s="220"/>
      <c r="F690" s="221">
        <v>500</v>
      </c>
      <c r="G690" s="249"/>
      <c r="H690" s="358">
        <f t="shared" si="14"/>
        <v>128900</v>
      </c>
      <c r="I690" s="127" t="s">
        <v>192</v>
      </c>
      <c r="J690" s="76" t="s">
        <v>3360</v>
      </c>
      <c r="K690" s="185"/>
    </row>
    <row r="691" spans="1:11" ht="15.6">
      <c r="A691" s="460">
        <v>45902</v>
      </c>
      <c r="B691" s="76" t="s">
        <v>3339</v>
      </c>
      <c r="C691" s="222" t="s">
        <v>173</v>
      </c>
      <c r="D691" s="76" t="s">
        <v>116</v>
      </c>
      <c r="E691" s="220"/>
      <c r="F691" s="221">
        <v>500</v>
      </c>
      <c r="G691" s="249"/>
      <c r="H691" s="358">
        <f t="shared" si="14"/>
        <v>128400</v>
      </c>
      <c r="I691" s="127" t="s">
        <v>192</v>
      </c>
      <c r="J691" s="76" t="s">
        <v>3360</v>
      </c>
      <c r="K691" s="185"/>
    </row>
    <row r="692" spans="1:11" ht="15.6">
      <c r="A692" s="460">
        <v>45905</v>
      </c>
      <c r="B692" s="76" t="s">
        <v>3340</v>
      </c>
      <c r="C692" s="76" t="s">
        <v>176</v>
      </c>
      <c r="D692" s="76" t="s">
        <v>116</v>
      </c>
      <c r="E692" s="220"/>
      <c r="F692" s="221">
        <v>90000</v>
      </c>
      <c r="G692" s="249"/>
      <c r="H692" s="358">
        <f t="shared" si="14"/>
        <v>38400</v>
      </c>
      <c r="I692" s="127" t="s">
        <v>192</v>
      </c>
      <c r="J692" s="76" t="s">
        <v>3365</v>
      </c>
      <c r="K692" s="185"/>
    </row>
    <row r="693" spans="1:11" ht="15.6">
      <c r="A693" s="460">
        <v>45905</v>
      </c>
      <c r="B693" s="76" t="s">
        <v>3341</v>
      </c>
      <c r="C693" s="127" t="s">
        <v>173</v>
      </c>
      <c r="D693" s="127" t="s">
        <v>116</v>
      </c>
      <c r="E693" s="225"/>
      <c r="F693" s="218">
        <v>500</v>
      </c>
      <c r="G693" s="249"/>
      <c r="H693" s="358">
        <f t="shared" si="14"/>
        <v>37900</v>
      </c>
      <c r="I693" s="127" t="s">
        <v>192</v>
      </c>
      <c r="J693" s="76" t="s">
        <v>3360</v>
      </c>
      <c r="K693" s="185"/>
    </row>
    <row r="694" spans="1:11" ht="15.6">
      <c r="A694" s="460">
        <v>45905</v>
      </c>
      <c r="B694" s="76" t="s">
        <v>2643</v>
      </c>
      <c r="C694" s="329" t="s">
        <v>173</v>
      </c>
      <c r="D694" s="127" t="s">
        <v>116</v>
      </c>
      <c r="E694" s="225"/>
      <c r="F694" s="218">
        <v>500</v>
      </c>
      <c r="G694" s="249"/>
      <c r="H694" s="358">
        <f t="shared" si="14"/>
        <v>37400</v>
      </c>
      <c r="I694" s="127" t="s">
        <v>192</v>
      </c>
      <c r="J694" s="76" t="s">
        <v>3360</v>
      </c>
      <c r="K694" s="185"/>
    </row>
    <row r="695" spans="1:11" ht="15.6">
      <c r="A695" s="460">
        <v>45906</v>
      </c>
      <c r="B695" s="76" t="s">
        <v>3342</v>
      </c>
      <c r="C695" s="127" t="s">
        <v>176</v>
      </c>
      <c r="D695" s="127" t="s">
        <v>116</v>
      </c>
      <c r="E695" s="225"/>
      <c r="F695" s="218">
        <v>15000</v>
      </c>
      <c r="G695" s="249"/>
      <c r="H695" s="358">
        <f t="shared" si="14"/>
        <v>22400</v>
      </c>
      <c r="I695" s="127" t="s">
        <v>192</v>
      </c>
      <c r="J695" s="76" t="s">
        <v>3366</v>
      </c>
      <c r="K695" s="185"/>
    </row>
    <row r="696" spans="1:11" ht="15.6">
      <c r="A696" s="460">
        <v>45906</v>
      </c>
      <c r="B696" s="76" t="s">
        <v>2645</v>
      </c>
      <c r="C696" s="127" t="s">
        <v>173</v>
      </c>
      <c r="D696" s="127" t="s">
        <v>116</v>
      </c>
      <c r="E696" s="225"/>
      <c r="F696" s="218">
        <v>500</v>
      </c>
      <c r="G696" s="249"/>
      <c r="H696" s="358">
        <f t="shared" si="14"/>
        <v>21900</v>
      </c>
      <c r="I696" s="127" t="s">
        <v>192</v>
      </c>
      <c r="J696" s="76" t="s">
        <v>3360</v>
      </c>
      <c r="K696" s="185"/>
    </row>
    <row r="697" spans="1:11" ht="15.6">
      <c r="A697" s="460">
        <v>45906</v>
      </c>
      <c r="B697" s="76" t="s">
        <v>3343</v>
      </c>
      <c r="C697" s="127" t="s">
        <v>173</v>
      </c>
      <c r="D697" s="127" t="s">
        <v>116</v>
      </c>
      <c r="E697" s="225"/>
      <c r="F697" s="218">
        <v>500</v>
      </c>
      <c r="G697" s="249"/>
      <c r="H697" s="358">
        <f t="shared" si="14"/>
        <v>21400</v>
      </c>
      <c r="I697" s="127" t="s">
        <v>192</v>
      </c>
      <c r="J697" s="76" t="s">
        <v>3360</v>
      </c>
      <c r="K697" s="185"/>
    </row>
    <row r="698" spans="1:11" ht="15.6">
      <c r="A698" s="460">
        <v>45907</v>
      </c>
      <c r="B698" s="76" t="s">
        <v>3344</v>
      </c>
      <c r="C698" s="127" t="s">
        <v>176</v>
      </c>
      <c r="D698" s="127" t="s">
        <v>116</v>
      </c>
      <c r="E698" s="225"/>
      <c r="F698" s="218">
        <v>15000</v>
      </c>
      <c r="G698" s="249"/>
      <c r="H698" s="358">
        <f t="shared" si="14"/>
        <v>6400</v>
      </c>
      <c r="I698" s="127" t="s">
        <v>192</v>
      </c>
      <c r="J698" s="76" t="s">
        <v>3367</v>
      </c>
      <c r="K698" s="185"/>
    </row>
    <row r="699" spans="1:11" ht="15.6">
      <c r="A699" s="460">
        <v>45907</v>
      </c>
      <c r="B699" s="76" t="s">
        <v>3345</v>
      </c>
      <c r="C699" s="127" t="s">
        <v>173</v>
      </c>
      <c r="D699" s="127" t="s">
        <v>116</v>
      </c>
      <c r="E699" s="225"/>
      <c r="F699" s="218">
        <v>500</v>
      </c>
      <c r="G699" s="249"/>
      <c r="H699" s="358">
        <f t="shared" si="14"/>
        <v>5900</v>
      </c>
      <c r="I699" s="127" t="s">
        <v>192</v>
      </c>
      <c r="J699" s="76" t="s">
        <v>3360</v>
      </c>
      <c r="K699" s="185"/>
    </row>
    <row r="700" spans="1:11" ht="15.6">
      <c r="A700" s="460">
        <v>45907</v>
      </c>
      <c r="B700" s="76" t="s">
        <v>3346</v>
      </c>
      <c r="C700" s="127" t="s">
        <v>173</v>
      </c>
      <c r="D700" s="127" t="s">
        <v>116</v>
      </c>
      <c r="E700" s="225"/>
      <c r="F700" s="218">
        <v>1000</v>
      </c>
      <c r="G700" s="249"/>
      <c r="H700" s="358">
        <f t="shared" si="14"/>
        <v>4900</v>
      </c>
      <c r="I700" s="127" t="s">
        <v>192</v>
      </c>
      <c r="J700" s="76" t="s">
        <v>3360</v>
      </c>
      <c r="K700" s="185"/>
    </row>
    <row r="701" spans="1:11" ht="15.6">
      <c r="A701" s="460">
        <v>45908</v>
      </c>
      <c r="B701" s="76" t="s">
        <v>3347</v>
      </c>
      <c r="C701" s="76" t="s">
        <v>151</v>
      </c>
      <c r="D701" s="127" t="s">
        <v>116</v>
      </c>
      <c r="E701" s="225">
        <v>7500</v>
      </c>
      <c r="F701" s="218"/>
      <c r="G701" s="249"/>
      <c r="H701" s="358">
        <f t="shared" si="14"/>
        <v>12400</v>
      </c>
      <c r="I701" s="127" t="s">
        <v>192</v>
      </c>
      <c r="J701" s="76" t="s">
        <v>3368</v>
      </c>
      <c r="K701" s="185"/>
    </row>
    <row r="702" spans="1:11" ht="15.6">
      <c r="A702" s="460">
        <v>45908</v>
      </c>
      <c r="B702" s="76" t="s">
        <v>3347</v>
      </c>
      <c r="C702" s="76" t="s">
        <v>151</v>
      </c>
      <c r="D702" s="127" t="s">
        <v>116</v>
      </c>
      <c r="E702" s="225"/>
      <c r="F702" s="218">
        <v>7500</v>
      </c>
      <c r="G702" s="249"/>
      <c r="H702" s="358">
        <f t="shared" si="14"/>
        <v>4900</v>
      </c>
      <c r="I702" s="127" t="s">
        <v>192</v>
      </c>
      <c r="J702" s="76" t="s">
        <v>3368</v>
      </c>
      <c r="K702" s="185"/>
    </row>
    <row r="703" spans="1:11" ht="15.6">
      <c r="A703" s="460">
        <v>45910</v>
      </c>
      <c r="B703" s="76" t="s">
        <v>3348</v>
      </c>
      <c r="C703" s="127" t="s">
        <v>173</v>
      </c>
      <c r="D703" s="127" t="s">
        <v>116</v>
      </c>
      <c r="E703" s="225"/>
      <c r="F703" s="218">
        <v>1000</v>
      </c>
      <c r="G703" s="249"/>
      <c r="H703" s="358">
        <f t="shared" si="14"/>
        <v>3900</v>
      </c>
      <c r="I703" s="127" t="s">
        <v>192</v>
      </c>
      <c r="J703" s="76" t="s">
        <v>3360</v>
      </c>
      <c r="K703" s="185"/>
    </row>
    <row r="704" spans="1:11" ht="15.6">
      <c r="A704" s="460">
        <v>45910</v>
      </c>
      <c r="B704" s="76" t="s">
        <v>2637</v>
      </c>
      <c r="C704" s="127" t="s">
        <v>173</v>
      </c>
      <c r="D704" s="127" t="s">
        <v>116</v>
      </c>
      <c r="E704" s="225"/>
      <c r="F704" s="218">
        <v>1000</v>
      </c>
      <c r="G704" s="249"/>
      <c r="H704" s="358">
        <f t="shared" si="14"/>
        <v>2900</v>
      </c>
      <c r="I704" s="127" t="s">
        <v>192</v>
      </c>
      <c r="J704" s="76" t="s">
        <v>3360</v>
      </c>
      <c r="K704" s="185"/>
    </row>
    <row r="705" spans="1:11" ht="15.6">
      <c r="A705" s="460">
        <v>45911</v>
      </c>
      <c r="B705" s="76" t="s">
        <v>3349</v>
      </c>
      <c r="C705" s="127" t="s">
        <v>173</v>
      </c>
      <c r="D705" s="127" t="s">
        <v>116</v>
      </c>
      <c r="E705" s="225"/>
      <c r="F705" s="218">
        <v>1000</v>
      </c>
      <c r="G705" s="249"/>
      <c r="H705" s="358">
        <f t="shared" si="14"/>
        <v>1900</v>
      </c>
      <c r="I705" s="127" t="s">
        <v>192</v>
      </c>
      <c r="J705" s="76" t="s">
        <v>3360</v>
      </c>
      <c r="K705" s="185"/>
    </row>
    <row r="706" spans="1:11" ht="15.6">
      <c r="A706" s="460">
        <v>45911</v>
      </c>
      <c r="B706" s="76" t="s">
        <v>2637</v>
      </c>
      <c r="C706" s="127" t="s">
        <v>173</v>
      </c>
      <c r="D706" s="127" t="s">
        <v>116</v>
      </c>
      <c r="E706" s="225"/>
      <c r="F706" s="218">
        <v>1000</v>
      </c>
      <c r="G706" s="249"/>
      <c r="H706" s="358">
        <f t="shared" si="14"/>
        <v>900</v>
      </c>
      <c r="I706" s="127" t="s">
        <v>192</v>
      </c>
      <c r="J706" s="76" t="s">
        <v>3360</v>
      </c>
      <c r="K706" s="185"/>
    </row>
    <row r="707" spans="1:11" ht="15.6">
      <c r="A707" s="460">
        <v>45912</v>
      </c>
      <c r="B707" s="76" t="s">
        <v>3350</v>
      </c>
      <c r="C707" s="127" t="s">
        <v>173</v>
      </c>
      <c r="D707" s="127" t="s">
        <v>116</v>
      </c>
      <c r="E707" s="225"/>
      <c r="F707" s="218">
        <v>1000</v>
      </c>
      <c r="G707" s="249"/>
      <c r="H707" s="358">
        <f t="shared" si="14"/>
        <v>-100</v>
      </c>
      <c r="I707" s="127" t="s">
        <v>192</v>
      </c>
      <c r="J707" s="76" t="s">
        <v>3360</v>
      </c>
      <c r="K707" s="185"/>
    </row>
    <row r="708" spans="1:11" ht="15.6">
      <c r="A708" s="460">
        <v>45912</v>
      </c>
      <c r="B708" s="76" t="s">
        <v>3351</v>
      </c>
      <c r="C708" s="127" t="s">
        <v>173</v>
      </c>
      <c r="D708" s="127" t="s">
        <v>116</v>
      </c>
      <c r="E708" s="225"/>
      <c r="F708" s="218">
        <v>1000</v>
      </c>
      <c r="G708" s="249"/>
      <c r="H708" s="358">
        <f t="shared" si="14"/>
        <v>-1100</v>
      </c>
      <c r="I708" s="127" t="s">
        <v>192</v>
      </c>
      <c r="J708" s="76" t="s">
        <v>3360</v>
      </c>
      <c r="K708" s="185"/>
    </row>
    <row r="709" spans="1:11" ht="15.6">
      <c r="A709" s="430">
        <v>45912</v>
      </c>
      <c r="B709" s="76" t="s">
        <v>3352</v>
      </c>
      <c r="C709" s="76" t="s">
        <v>125</v>
      </c>
      <c r="D709" s="76" t="s">
        <v>117</v>
      </c>
      <c r="E709" s="218">
        <v>55270</v>
      </c>
      <c r="F709" s="218"/>
      <c r="G709" s="249"/>
      <c r="H709" s="358">
        <f t="shared" si="14"/>
        <v>54170</v>
      </c>
      <c r="I709" s="76" t="s">
        <v>192</v>
      </c>
      <c r="J709" s="433" t="s">
        <v>3369</v>
      </c>
      <c r="K709" s="185"/>
    </row>
    <row r="710" spans="1:11" ht="15.6">
      <c r="A710" s="430">
        <v>45912</v>
      </c>
      <c r="B710" s="76" t="s">
        <v>3352</v>
      </c>
      <c r="C710" s="76" t="s">
        <v>125</v>
      </c>
      <c r="D710" s="76" t="s">
        <v>117</v>
      </c>
      <c r="E710" s="225"/>
      <c r="F710" s="218">
        <v>55270</v>
      </c>
      <c r="G710" s="249"/>
      <c r="H710" s="358">
        <f t="shared" si="14"/>
        <v>-1100</v>
      </c>
      <c r="I710" s="76" t="s">
        <v>192</v>
      </c>
      <c r="J710" s="433" t="s">
        <v>3369</v>
      </c>
      <c r="K710" s="185"/>
    </row>
    <row r="711" spans="1:11" ht="15.6">
      <c r="A711" s="460">
        <v>45915</v>
      </c>
      <c r="B711" s="76" t="s">
        <v>459</v>
      </c>
      <c r="C711" s="222" t="s">
        <v>123</v>
      </c>
      <c r="D711" s="127" t="s">
        <v>116</v>
      </c>
      <c r="E711" s="221">
        <v>20000</v>
      </c>
      <c r="F711" s="220"/>
      <c r="G711" s="249"/>
      <c r="H711" s="358">
        <f t="shared" si="14"/>
        <v>18900</v>
      </c>
      <c r="I711" s="127" t="s">
        <v>192</v>
      </c>
      <c r="J711" s="76" t="s">
        <v>3370</v>
      </c>
      <c r="K711" s="185"/>
    </row>
    <row r="712" spans="1:11" ht="15.6">
      <c r="A712" s="460">
        <v>45917</v>
      </c>
      <c r="B712" s="76" t="s">
        <v>3353</v>
      </c>
      <c r="C712" s="76" t="s">
        <v>151</v>
      </c>
      <c r="D712" s="127" t="s">
        <v>116</v>
      </c>
      <c r="E712" s="221">
        <v>7500</v>
      </c>
      <c r="F712" s="220"/>
      <c r="G712" s="249"/>
      <c r="H712" s="358">
        <f t="shared" si="14"/>
        <v>26400</v>
      </c>
      <c r="I712" s="127" t="s">
        <v>192</v>
      </c>
      <c r="J712" s="76" t="s">
        <v>3371</v>
      </c>
      <c r="K712" s="185"/>
    </row>
    <row r="713" spans="1:11" ht="15.6">
      <c r="A713" s="460">
        <v>45917</v>
      </c>
      <c r="B713" s="76" t="s">
        <v>3353</v>
      </c>
      <c r="C713" s="76" t="s">
        <v>151</v>
      </c>
      <c r="D713" s="127" t="s">
        <v>116</v>
      </c>
      <c r="E713" s="221"/>
      <c r="F713" s="220">
        <v>7500</v>
      </c>
      <c r="G713" s="249"/>
      <c r="H713" s="358">
        <f t="shared" si="14"/>
        <v>18900</v>
      </c>
      <c r="I713" s="127" t="s">
        <v>192</v>
      </c>
      <c r="J713" s="76" t="s">
        <v>3371</v>
      </c>
      <c r="K713" s="185"/>
    </row>
    <row r="714" spans="1:11" ht="15.6">
      <c r="A714" s="460">
        <v>45919</v>
      </c>
      <c r="B714" s="76" t="s">
        <v>3354</v>
      </c>
      <c r="C714" s="127" t="s">
        <v>173</v>
      </c>
      <c r="D714" s="127" t="s">
        <v>116</v>
      </c>
      <c r="E714" s="225"/>
      <c r="F714" s="218">
        <v>1500</v>
      </c>
      <c r="G714" s="249"/>
      <c r="H714" s="358">
        <f t="shared" si="14"/>
        <v>17400</v>
      </c>
      <c r="I714" s="127" t="s">
        <v>192</v>
      </c>
      <c r="J714" s="76" t="s">
        <v>3360</v>
      </c>
      <c r="K714" s="185"/>
    </row>
    <row r="715" spans="1:11" ht="15.6">
      <c r="A715" s="460">
        <v>45919</v>
      </c>
      <c r="B715" s="76" t="s">
        <v>3355</v>
      </c>
      <c r="C715" s="127" t="s">
        <v>173</v>
      </c>
      <c r="D715" s="127" t="s">
        <v>116</v>
      </c>
      <c r="E715" s="225"/>
      <c r="F715" s="218">
        <v>1000</v>
      </c>
      <c r="G715" s="249"/>
      <c r="H715" s="358">
        <f t="shared" si="14"/>
        <v>16400</v>
      </c>
      <c r="I715" s="127" t="s">
        <v>192</v>
      </c>
      <c r="J715" s="76" t="s">
        <v>3360</v>
      </c>
      <c r="K715" s="185"/>
    </row>
    <row r="716" spans="1:11" ht="15.6">
      <c r="A716" s="460">
        <v>45919</v>
      </c>
      <c r="B716" s="76" t="s">
        <v>3356</v>
      </c>
      <c r="C716" s="127" t="s">
        <v>173</v>
      </c>
      <c r="D716" s="127" t="s">
        <v>116</v>
      </c>
      <c r="E716" s="225"/>
      <c r="F716" s="218">
        <v>1500</v>
      </c>
      <c r="G716" s="249"/>
      <c r="H716" s="358">
        <f t="shared" si="14"/>
        <v>14900</v>
      </c>
      <c r="I716" s="127" t="s">
        <v>192</v>
      </c>
      <c r="J716" s="76" t="s">
        <v>3360</v>
      </c>
      <c r="K716" s="185"/>
    </row>
    <row r="717" spans="1:11" ht="15.6">
      <c r="A717" s="460">
        <v>45919</v>
      </c>
      <c r="B717" s="76" t="s">
        <v>3357</v>
      </c>
      <c r="C717" s="127" t="s">
        <v>173</v>
      </c>
      <c r="D717" s="127" t="s">
        <v>116</v>
      </c>
      <c r="E717" s="225"/>
      <c r="F717" s="218">
        <v>1000</v>
      </c>
      <c r="G717" s="249"/>
      <c r="H717" s="358">
        <f t="shared" si="14"/>
        <v>13900</v>
      </c>
      <c r="I717" s="127" t="s">
        <v>192</v>
      </c>
      <c r="J717" s="76" t="s">
        <v>3360</v>
      </c>
      <c r="K717" s="185"/>
    </row>
    <row r="718" spans="1:11" ht="15.6">
      <c r="A718" s="460">
        <v>45919</v>
      </c>
      <c r="B718" s="76" t="s">
        <v>3358</v>
      </c>
      <c r="C718" s="127" t="s">
        <v>173</v>
      </c>
      <c r="D718" s="127" t="s">
        <v>116</v>
      </c>
      <c r="E718" s="225"/>
      <c r="F718" s="218">
        <v>2000</v>
      </c>
      <c r="G718" s="249"/>
      <c r="H718" s="358">
        <f t="shared" si="14"/>
        <v>11900</v>
      </c>
      <c r="I718" s="127" t="s">
        <v>192</v>
      </c>
      <c r="J718" s="76" t="s">
        <v>3360</v>
      </c>
      <c r="K718" s="185"/>
    </row>
    <row r="719" spans="1:11" ht="15.6">
      <c r="A719" s="430">
        <v>45919</v>
      </c>
      <c r="B719" s="76" t="s">
        <v>818</v>
      </c>
      <c r="C719" s="76" t="s">
        <v>171</v>
      </c>
      <c r="D719" s="76" t="s">
        <v>117</v>
      </c>
      <c r="E719" s="218">
        <v>31250</v>
      </c>
      <c r="F719" s="218"/>
      <c r="G719" s="218"/>
      <c r="H719" s="358">
        <f t="shared" si="14"/>
        <v>43150</v>
      </c>
      <c r="I719" s="76" t="s">
        <v>192</v>
      </c>
      <c r="J719" s="433" t="s">
        <v>3372</v>
      </c>
      <c r="K719" s="185"/>
    </row>
    <row r="720" spans="1:11" ht="15.6">
      <c r="A720" s="430">
        <v>45919</v>
      </c>
      <c r="B720" s="76" t="s">
        <v>818</v>
      </c>
      <c r="C720" s="76" t="s">
        <v>171</v>
      </c>
      <c r="D720" s="76" t="s">
        <v>117</v>
      </c>
      <c r="E720" s="218"/>
      <c r="F720" s="218">
        <v>31250</v>
      </c>
      <c r="G720" s="218"/>
      <c r="H720" s="358">
        <f t="shared" si="14"/>
        <v>11900</v>
      </c>
      <c r="I720" s="76" t="s">
        <v>192</v>
      </c>
      <c r="J720" s="433" t="s">
        <v>3372</v>
      </c>
      <c r="K720" s="185"/>
    </row>
    <row r="721" spans="1:11" ht="15.6">
      <c r="A721" s="460">
        <v>45929</v>
      </c>
      <c r="B721" s="76" t="s">
        <v>3359</v>
      </c>
      <c r="C721" s="76" t="s">
        <v>151</v>
      </c>
      <c r="D721" s="127" t="s">
        <v>116</v>
      </c>
      <c r="E721" s="225">
        <v>7500</v>
      </c>
      <c r="F721" s="218"/>
      <c r="G721" s="221"/>
      <c r="H721" s="358">
        <f t="shared" si="14"/>
        <v>19400</v>
      </c>
      <c r="I721" s="127" t="s">
        <v>192</v>
      </c>
      <c r="J721" s="76" t="s">
        <v>3373</v>
      </c>
      <c r="K721" s="185"/>
    </row>
    <row r="722" spans="1:11" ht="15.6">
      <c r="A722" s="460">
        <v>45929</v>
      </c>
      <c r="B722" s="76" t="s">
        <v>3359</v>
      </c>
      <c r="C722" s="76" t="s">
        <v>151</v>
      </c>
      <c r="D722" s="127" t="s">
        <v>116</v>
      </c>
      <c r="E722" s="225"/>
      <c r="F722" s="218">
        <v>7500</v>
      </c>
      <c r="G722" s="221"/>
      <c r="H722" s="358">
        <f t="shared" si="14"/>
        <v>11900</v>
      </c>
      <c r="I722" s="127" t="s">
        <v>192</v>
      </c>
      <c r="J722" s="76" t="s">
        <v>3373</v>
      </c>
      <c r="K722" s="185"/>
    </row>
    <row r="723" spans="1:11" ht="15.6">
      <c r="A723" s="180"/>
      <c r="B723" s="205"/>
      <c r="C723" s="212"/>
      <c r="D723" s="205"/>
      <c r="E723" s="213">
        <f>SUM(E682:E722)</f>
        <v>286520</v>
      </c>
      <c r="F723" s="213">
        <f>SUM(F682:F722)</f>
        <v>352020</v>
      </c>
      <c r="G723" s="213"/>
      <c r="H723" s="213">
        <f>+E723-F723+H682</f>
        <v>11900</v>
      </c>
      <c r="I723" s="185"/>
      <c r="J723" s="185"/>
      <c r="K723" s="185"/>
    </row>
    <row r="724" spans="1:11" ht="15.6">
      <c r="A724" s="187"/>
      <c r="B724" s="185"/>
      <c r="C724" s="188" t="s">
        <v>1822</v>
      </c>
      <c r="D724" s="185"/>
      <c r="E724" s="189"/>
      <c r="F724" s="189"/>
      <c r="G724" s="189"/>
      <c r="H724" s="190"/>
      <c r="I724" s="185"/>
      <c r="J724" s="185"/>
      <c r="K724" s="185"/>
    </row>
    <row r="725" spans="1:11" ht="15.6">
      <c r="A725" s="187"/>
      <c r="B725" s="185"/>
      <c r="C725" s="185"/>
      <c r="D725" s="185"/>
      <c r="E725" s="189"/>
      <c r="F725" s="189"/>
      <c r="G725" s="189"/>
      <c r="H725" s="190"/>
      <c r="I725" s="185"/>
      <c r="J725" s="185"/>
      <c r="K725" s="185"/>
    </row>
    <row r="726" spans="1:11" ht="15.6">
      <c r="A726" s="191" t="s">
        <v>0</v>
      </c>
      <c r="B726" s="192" t="s">
        <v>445</v>
      </c>
      <c r="C726" s="192" t="s">
        <v>446</v>
      </c>
      <c r="D726" s="192" t="s">
        <v>447</v>
      </c>
      <c r="E726" s="193" t="s">
        <v>448</v>
      </c>
      <c r="F726" s="193" t="s">
        <v>449</v>
      </c>
      <c r="G726" s="193"/>
      <c r="H726" s="194" t="s">
        <v>460</v>
      </c>
      <c r="I726" s="192" t="s">
        <v>450</v>
      </c>
      <c r="J726" s="192" t="s">
        <v>451</v>
      </c>
      <c r="K726" s="195"/>
    </row>
    <row r="727" spans="1:11" ht="15.6">
      <c r="A727" s="146">
        <v>45901</v>
      </c>
      <c r="B727" s="179" t="s">
        <v>2878</v>
      </c>
      <c r="C727" s="179"/>
      <c r="D727" s="179"/>
      <c r="E727" s="182"/>
      <c r="F727" s="182"/>
      <c r="G727" s="182"/>
      <c r="H727" s="183">
        <v>276830</v>
      </c>
      <c r="I727" s="179" t="s">
        <v>196</v>
      </c>
      <c r="J727" s="179"/>
      <c r="K727" s="185"/>
    </row>
    <row r="728" spans="1:11" ht="15.6">
      <c r="A728" s="461">
        <v>45901</v>
      </c>
      <c r="B728" s="223" t="s">
        <v>3374</v>
      </c>
      <c r="C728" s="359" t="s">
        <v>195</v>
      </c>
      <c r="D728" s="359" t="s">
        <v>116</v>
      </c>
      <c r="E728" s="246"/>
      <c r="F728" s="246">
        <v>500</v>
      </c>
      <c r="G728" s="244"/>
      <c r="H728" s="245">
        <f t="shared" ref="H728:H785" si="15">H727+E728-F728</f>
        <v>276330</v>
      </c>
      <c r="I728" s="360" t="s">
        <v>437</v>
      </c>
      <c r="J728" s="223" t="s">
        <v>3411</v>
      </c>
      <c r="K728" s="185"/>
    </row>
    <row r="729" spans="1:11" ht="15.6">
      <c r="A729" s="461">
        <v>45901</v>
      </c>
      <c r="B729" s="223" t="s">
        <v>3375</v>
      </c>
      <c r="C729" s="359" t="s">
        <v>195</v>
      </c>
      <c r="D729" s="359" t="s">
        <v>116</v>
      </c>
      <c r="E729" s="246"/>
      <c r="F729" s="246">
        <v>500</v>
      </c>
      <c r="G729" s="244"/>
      <c r="H729" s="245">
        <f t="shared" si="15"/>
        <v>275830</v>
      </c>
      <c r="I729" s="360" t="s">
        <v>437</v>
      </c>
      <c r="J729" s="223" t="s">
        <v>3411</v>
      </c>
      <c r="K729" s="185"/>
    </row>
    <row r="730" spans="1:11" ht="15.6">
      <c r="A730" s="461">
        <v>45901</v>
      </c>
      <c r="B730" s="181" t="s">
        <v>3376</v>
      </c>
      <c r="C730" s="243" t="s">
        <v>151</v>
      </c>
      <c r="D730" s="243" t="s">
        <v>116</v>
      </c>
      <c r="E730" s="246">
        <v>10000</v>
      </c>
      <c r="F730" s="246"/>
      <c r="G730" s="244"/>
      <c r="H730" s="245">
        <f t="shared" si="15"/>
        <v>285830</v>
      </c>
      <c r="I730" s="360" t="s">
        <v>437</v>
      </c>
      <c r="J730" s="223" t="s">
        <v>3412</v>
      </c>
      <c r="K730" s="185"/>
    </row>
    <row r="731" spans="1:11" ht="15.6">
      <c r="A731" s="461">
        <v>45901</v>
      </c>
      <c r="B731" s="181" t="s">
        <v>3376</v>
      </c>
      <c r="C731" s="243" t="s">
        <v>151</v>
      </c>
      <c r="D731" s="243" t="s">
        <v>116</v>
      </c>
      <c r="E731" s="244"/>
      <c r="F731" s="244">
        <v>10000</v>
      </c>
      <c r="G731" s="244"/>
      <c r="H731" s="245">
        <f t="shared" si="15"/>
        <v>275830</v>
      </c>
      <c r="I731" s="360" t="s">
        <v>437</v>
      </c>
      <c r="J731" s="223" t="s">
        <v>3412</v>
      </c>
      <c r="K731" s="185"/>
    </row>
    <row r="732" spans="1:11" ht="15.6">
      <c r="A732" s="461">
        <v>45901</v>
      </c>
      <c r="B732" s="223" t="s">
        <v>3377</v>
      </c>
      <c r="C732" s="359" t="s">
        <v>195</v>
      </c>
      <c r="D732" s="359" t="s">
        <v>116</v>
      </c>
      <c r="E732" s="246"/>
      <c r="F732" s="246">
        <v>500</v>
      </c>
      <c r="G732" s="244"/>
      <c r="H732" s="245">
        <f t="shared" si="15"/>
        <v>275330</v>
      </c>
      <c r="I732" s="360" t="s">
        <v>437</v>
      </c>
      <c r="J732" s="223" t="s">
        <v>3411</v>
      </c>
      <c r="K732" s="185"/>
    </row>
    <row r="733" spans="1:11" ht="15.6">
      <c r="A733" s="461">
        <v>45912</v>
      </c>
      <c r="B733" s="181" t="s">
        <v>3378</v>
      </c>
      <c r="C733" s="243" t="s">
        <v>195</v>
      </c>
      <c r="D733" s="243" t="s">
        <v>116</v>
      </c>
      <c r="E733" s="244"/>
      <c r="F733" s="244">
        <v>37000</v>
      </c>
      <c r="G733" s="244"/>
      <c r="H733" s="245">
        <f t="shared" si="15"/>
        <v>238330</v>
      </c>
      <c r="I733" s="360" t="s">
        <v>437</v>
      </c>
      <c r="J733" s="223" t="s">
        <v>3413</v>
      </c>
      <c r="K733" s="185"/>
    </row>
    <row r="734" spans="1:11" ht="15.6">
      <c r="A734" s="461">
        <v>45901</v>
      </c>
      <c r="B734" s="247" t="s">
        <v>3379</v>
      </c>
      <c r="C734" s="247" t="s">
        <v>176</v>
      </c>
      <c r="D734" s="247" t="s">
        <v>116</v>
      </c>
      <c r="E734" s="244"/>
      <c r="F734" s="244">
        <v>120000</v>
      </c>
      <c r="G734" s="244"/>
      <c r="H734" s="245">
        <f t="shared" si="15"/>
        <v>118330</v>
      </c>
      <c r="I734" s="360" t="s">
        <v>437</v>
      </c>
      <c r="J734" s="223" t="s">
        <v>3414</v>
      </c>
      <c r="K734" s="185"/>
    </row>
    <row r="735" spans="1:11" ht="15.6">
      <c r="A735" s="461">
        <v>45902</v>
      </c>
      <c r="B735" s="223" t="s">
        <v>3380</v>
      </c>
      <c r="C735" s="359" t="s">
        <v>195</v>
      </c>
      <c r="D735" s="359" t="s">
        <v>116</v>
      </c>
      <c r="E735" s="246"/>
      <c r="F735" s="246">
        <v>500</v>
      </c>
      <c r="G735" s="244"/>
      <c r="H735" s="245">
        <f t="shared" si="15"/>
        <v>117830</v>
      </c>
      <c r="I735" s="360" t="s">
        <v>437</v>
      </c>
      <c r="J735" s="223" t="s">
        <v>3411</v>
      </c>
      <c r="K735" s="185"/>
    </row>
    <row r="736" spans="1:11" ht="15.6">
      <c r="A736" s="461">
        <v>45902</v>
      </c>
      <c r="B736" s="223" t="s">
        <v>2696</v>
      </c>
      <c r="C736" s="359" t="s">
        <v>195</v>
      </c>
      <c r="D736" s="359" t="s">
        <v>116</v>
      </c>
      <c r="E736" s="246"/>
      <c r="F736" s="246">
        <v>500</v>
      </c>
      <c r="G736" s="244"/>
      <c r="H736" s="245">
        <f t="shared" si="15"/>
        <v>117330</v>
      </c>
      <c r="I736" s="360" t="s">
        <v>437</v>
      </c>
      <c r="J736" s="223" t="s">
        <v>3411</v>
      </c>
      <c r="K736" s="185"/>
    </row>
    <row r="737" spans="1:11" ht="15.6">
      <c r="A737" s="461">
        <v>45902</v>
      </c>
      <c r="B737" s="223" t="s">
        <v>2670</v>
      </c>
      <c r="C737" s="223" t="s">
        <v>123</v>
      </c>
      <c r="D737" s="359" t="s">
        <v>116</v>
      </c>
      <c r="E737" s="246">
        <v>140000</v>
      </c>
      <c r="F737" s="246"/>
      <c r="G737" s="244"/>
      <c r="H737" s="245">
        <f t="shared" si="15"/>
        <v>257330</v>
      </c>
      <c r="I737" s="360" t="s">
        <v>437</v>
      </c>
      <c r="J737" s="223" t="s">
        <v>3415</v>
      </c>
      <c r="K737" s="185"/>
    </row>
    <row r="738" spans="1:11" ht="15.6">
      <c r="A738" s="461">
        <v>45904</v>
      </c>
      <c r="B738" s="223" t="s">
        <v>3381</v>
      </c>
      <c r="C738" s="359" t="s">
        <v>195</v>
      </c>
      <c r="D738" s="359" t="s">
        <v>116</v>
      </c>
      <c r="E738" s="246"/>
      <c r="F738" s="246">
        <v>500</v>
      </c>
      <c r="G738" s="244"/>
      <c r="H738" s="245">
        <f t="shared" si="15"/>
        <v>256830</v>
      </c>
      <c r="I738" s="360" t="s">
        <v>437</v>
      </c>
      <c r="J738" s="223" t="s">
        <v>3411</v>
      </c>
      <c r="K738" s="185"/>
    </row>
    <row r="739" spans="1:11" ht="15.6">
      <c r="A739" s="461">
        <v>45904</v>
      </c>
      <c r="B739" s="223" t="s">
        <v>3377</v>
      </c>
      <c r="C739" s="359" t="s">
        <v>195</v>
      </c>
      <c r="D739" s="359" t="s">
        <v>116</v>
      </c>
      <c r="E739" s="246"/>
      <c r="F739" s="246">
        <v>500</v>
      </c>
      <c r="G739" s="244"/>
      <c r="H739" s="245">
        <f t="shared" si="15"/>
        <v>256330</v>
      </c>
      <c r="I739" s="360" t="s">
        <v>437</v>
      </c>
      <c r="J739" s="223" t="s">
        <v>3411</v>
      </c>
      <c r="K739" s="185"/>
    </row>
    <row r="740" spans="1:11" ht="15.6">
      <c r="A740" s="461">
        <v>45905</v>
      </c>
      <c r="B740" s="223" t="s">
        <v>3380</v>
      </c>
      <c r="C740" s="359" t="s">
        <v>195</v>
      </c>
      <c r="D740" s="359" t="s">
        <v>116</v>
      </c>
      <c r="E740" s="246"/>
      <c r="F740" s="246">
        <v>500</v>
      </c>
      <c r="G740" s="244"/>
      <c r="H740" s="245">
        <f t="shared" si="15"/>
        <v>255830</v>
      </c>
      <c r="I740" s="360" t="s">
        <v>437</v>
      </c>
      <c r="J740" s="223" t="s">
        <v>3411</v>
      </c>
      <c r="K740" s="185"/>
    </row>
    <row r="741" spans="1:11" ht="15.6">
      <c r="A741" s="461">
        <v>45905</v>
      </c>
      <c r="B741" s="223" t="s">
        <v>2696</v>
      </c>
      <c r="C741" s="359" t="s">
        <v>195</v>
      </c>
      <c r="D741" s="359" t="s">
        <v>116</v>
      </c>
      <c r="E741" s="246"/>
      <c r="F741" s="246">
        <v>500</v>
      </c>
      <c r="G741" s="244"/>
      <c r="H741" s="245">
        <f t="shared" si="15"/>
        <v>255330</v>
      </c>
      <c r="I741" s="360" t="s">
        <v>437</v>
      </c>
      <c r="J741" s="223" t="s">
        <v>3411</v>
      </c>
      <c r="K741" s="185"/>
    </row>
    <row r="742" spans="1:11" ht="15.6">
      <c r="A742" s="461">
        <v>45905</v>
      </c>
      <c r="B742" s="223" t="s">
        <v>2670</v>
      </c>
      <c r="C742" s="223" t="s">
        <v>123</v>
      </c>
      <c r="D742" s="359" t="s">
        <v>116</v>
      </c>
      <c r="E742" s="246">
        <v>75000</v>
      </c>
      <c r="F742" s="246"/>
      <c r="G742" s="244"/>
      <c r="H742" s="245">
        <f t="shared" si="15"/>
        <v>330330</v>
      </c>
      <c r="I742" s="360" t="s">
        <v>437</v>
      </c>
      <c r="J742" s="223" t="s">
        <v>3416</v>
      </c>
      <c r="K742" s="185"/>
    </row>
    <row r="743" spans="1:11" ht="15.6">
      <c r="A743" s="461">
        <v>45906</v>
      </c>
      <c r="B743" s="223" t="s">
        <v>3382</v>
      </c>
      <c r="C743" s="359" t="s">
        <v>195</v>
      </c>
      <c r="D743" s="359" t="s">
        <v>116</v>
      </c>
      <c r="E743" s="246"/>
      <c r="F743" s="246">
        <v>500</v>
      </c>
      <c r="G743" s="244"/>
      <c r="H743" s="245">
        <f t="shared" si="15"/>
        <v>329830</v>
      </c>
      <c r="I743" s="360" t="s">
        <v>437</v>
      </c>
      <c r="J743" s="223" t="s">
        <v>3411</v>
      </c>
      <c r="K743" s="185"/>
    </row>
    <row r="744" spans="1:11" ht="15.6">
      <c r="A744" s="461">
        <v>45906</v>
      </c>
      <c r="B744" s="223" t="s">
        <v>3383</v>
      </c>
      <c r="C744" s="359" t="s">
        <v>195</v>
      </c>
      <c r="D744" s="359" t="s">
        <v>116</v>
      </c>
      <c r="E744" s="246"/>
      <c r="F744" s="246">
        <v>500</v>
      </c>
      <c r="G744" s="244"/>
      <c r="H744" s="245">
        <f t="shared" si="15"/>
        <v>329330</v>
      </c>
      <c r="I744" s="360" t="s">
        <v>437</v>
      </c>
      <c r="J744" s="223" t="s">
        <v>3411</v>
      </c>
      <c r="K744" s="185"/>
    </row>
    <row r="745" spans="1:11" ht="15.6">
      <c r="A745" s="461">
        <v>45906</v>
      </c>
      <c r="B745" s="223" t="s">
        <v>3381</v>
      </c>
      <c r="C745" s="359" t="s">
        <v>195</v>
      </c>
      <c r="D745" s="359" t="s">
        <v>116</v>
      </c>
      <c r="E745" s="246"/>
      <c r="F745" s="246">
        <v>500</v>
      </c>
      <c r="G745" s="244"/>
      <c r="H745" s="245">
        <f t="shared" si="15"/>
        <v>328830</v>
      </c>
      <c r="I745" s="360" t="s">
        <v>437</v>
      </c>
      <c r="J745" s="223" t="s">
        <v>3411</v>
      </c>
      <c r="K745" s="185"/>
    </row>
    <row r="746" spans="1:11" ht="15.6">
      <c r="A746" s="461">
        <v>45906</v>
      </c>
      <c r="B746" s="223" t="s">
        <v>3377</v>
      </c>
      <c r="C746" s="359" t="s">
        <v>195</v>
      </c>
      <c r="D746" s="359" t="s">
        <v>116</v>
      </c>
      <c r="E746" s="246"/>
      <c r="F746" s="246">
        <v>500</v>
      </c>
      <c r="G746" s="244"/>
      <c r="H746" s="245">
        <f t="shared" si="15"/>
        <v>328330</v>
      </c>
      <c r="I746" s="360" t="s">
        <v>437</v>
      </c>
      <c r="J746" s="223" t="s">
        <v>3411</v>
      </c>
      <c r="K746" s="185"/>
    </row>
    <row r="747" spans="1:11" ht="15.6">
      <c r="A747" s="461">
        <v>45907</v>
      </c>
      <c r="B747" s="223" t="s">
        <v>3382</v>
      </c>
      <c r="C747" s="359" t="s">
        <v>195</v>
      </c>
      <c r="D747" s="359" t="s">
        <v>116</v>
      </c>
      <c r="E747" s="246"/>
      <c r="F747" s="246">
        <v>500</v>
      </c>
      <c r="G747" s="244"/>
      <c r="H747" s="245">
        <f t="shared" si="15"/>
        <v>327830</v>
      </c>
      <c r="I747" s="360" t="s">
        <v>437</v>
      </c>
      <c r="J747" s="223" t="s">
        <v>3411</v>
      </c>
      <c r="K747" s="185"/>
    </row>
    <row r="748" spans="1:11" ht="15.6">
      <c r="A748" s="461">
        <v>45907</v>
      </c>
      <c r="B748" s="223" t="s">
        <v>3384</v>
      </c>
      <c r="C748" s="359" t="s">
        <v>195</v>
      </c>
      <c r="D748" s="359" t="s">
        <v>116</v>
      </c>
      <c r="E748" s="246"/>
      <c r="F748" s="246">
        <v>500</v>
      </c>
      <c r="G748" s="244"/>
      <c r="H748" s="245">
        <f t="shared" si="15"/>
        <v>327330</v>
      </c>
      <c r="I748" s="360" t="s">
        <v>437</v>
      </c>
      <c r="J748" s="223" t="s">
        <v>3411</v>
      </c>
      <c r="K748" s="185"/>
    </row>
    <row r="749" spans="1:11" ht="15.6">
      <c r="A749" s="461">
        <v>45907</v>
      </c>
      <c r="B749" s="223" t="s">
        <v>3385</v>
      </c>
      <c r="C749" s="359" t="s">
        <v>195</v>
      </c>
      <c r="D749" s="359" t="s">
        <v>116</v>
      </c>
      <c r="E749" s="246"/>
      <c r="F749" s="246">
        <v>500</v>
      </c>
      <c r="G749" s="244"/>
      <c r="H749" s="245">
        <f t="shared" si="15"/>
        <v>326830</v>
      </c>
      <c r="I749" s="360" t="s">
        <v>437</v>
      </c>
      <c r="J749" s="223" t="s">
        <v>3411</v>
      </c>
      <c r="K749" s="185"/>
    </row>
    <row r="750" spans="1:11" ht="15.6">
      <c r="A750" s="461">
        <v>45907</v>
      </c>
      <c r="B750" s="223" t="s">
        <v>3386</v>
      </c>
      <c r="C750" s="359" t="s">
        <v>195</v>
      </c>
      <c r="D750" s="359" t="s">
        <v>116</v>
      </c>
      <c r="E750" s="246"/>
      <c r="F750" s="246">
        <v>500</v>
      </c>
      <c r="G750" s="244"/>
      <c r="H750" s="245">
        <f t="shared" si="15"/>
        <v>326330</v>
      </c>
      <c r="I750" s="360" t="s">
        <v>437</v>
      </c>
      <c r="J750" s="223" t="s">
        <v>3411</v>
      </c>
      <c r="K750" s="185"/>
    </row>
    <row r="751" spans="1:11" ht="15.6">
      <c r="A751" s="461">
        <v>45908</v>
      </c>
      <c r="B751" s="223" t="s">
        <v>3387</v>
      </c>
      <c r="C751" s="359" t="s">
        <v>195</v>
      </c>
      <c r="D751" s="359" t="s">
        <v>116</v>
      </c>
      <c r="E751" s="246"/>
      <c r="F751" s="246">
        <v>500</v>
      </c>
      <c r="G751" s="244"/>
      <c r="H751" s="245">
        <f t="shared" si="15"/>
        <v>325830</v>
      </c>
      <c r="I751" s="360" t="s">
        <v>437</v>
      </c>
      <c r="J751" s="223" t="s">
        <v>3411</v>
      </c>
      <c r="K751" s="185"/>
    </row>
    <row r="752" spans="1:11" ht="15.6">
      <c r="A752" s="461">
        <v>45908</v>
      </c>
      <c r="B752" s="181" t="s">
        <v>3388</v>
      </c>
      <c r="C752" s="243" t="s">
        <v>151</v>
      </c>
      <c r="D752" s="243" t="s">
        <v>116</v>
      </c>
      <c r="E752" s="244">
        <v>10000</v>
      </c>
      <c r="F752" s="244"/>
      <c r="G752" s="244"/>
      <c r="H752" s="245">
        <f t="shared" si="15"/>
        <v>335830</v>
      </c>
      <c r="I752" s="360" t="s">
        <v>437</v>
      </c>
      <c r="J752" s="223" t="s">
        <v>3417</v>
      </c>
      <c r="K752" s="185"/>
    </row>
    <row r="753" spans="1:11" ht="15.6">
      <c r="A753" s="461">
        <v>45908</v>
      </c>
      <c r="B753" s="181" t="s">
        <v>3388</v>
      </c>
      <c r="C753" s="243" t="s">
        <v>151</v>
      </c>
      <c r="D753" s="243" t="s">
        <v>116</v>
      </c>
      <c r="E753" s="244"/>
      <c r="F753" s="244">
        <v>10000</v>
      </c>
      <c r="G753" s="244"/>
      <c r="H753" s="245">
        <f t="shared" si="15"/>
        <v>325830</v>
      </c>
      <c r="I753" s="360" t="s">
        <v>437</v>
      </c>
      <c r="J753" s="223" t="s">
        <v>3417</v>
      </c>
      <c r="K753" s="185"/>
    </row>
    <row r="754" spans="1:11" ht="15.6">
      <c r="A754" s="461">
        <v>45909</v>
      </c>
      <c r="B754" s="223" t="s">
        <v>3389</v>
      </c>
      <c r="C754" s="359" t="s">
        <v>195</v>
      </c>
      <c r="D754" s="359" t="s">
        <v>116</v>
      </c>
      <c r="E754" s="246"/>
      <c r="F754" s="246">
        <v>500</v>
      </c>
      <c r="G754" s="244"/>
      <c r="H754" s="245">
        <f t="shared" si="15"/>
        <v>325330</v>
      </c>
      <c r="I754" s="360" t="s">
        <v>437</v>
      </c>
      <c r="J754" s="223" t="s">
        <v>3411</v>
      </c>
      <c r="K754" s="185"/>
    </row>
    <row r="755" spans="1:11" ht="15.6">
      <c r="A755" s="461">
        <v>45909</v>
      </c>
      <c r="B755" s="223" t="s">
        <v>3390</v>
      </c>
      <c r="C755" s="359" t="s">
        <v>195</v>
      </c>
      <c r="D755" s="359" t="s">
        <v>116</v>
      </c>
      <c r="E755" s="246"/>
      <c r="F755" s="246">
        <v>500</v>
      </c>
      <c r="G755" s="244"/>
      <c r="H755" s="245">
        <f t="shared" si="15"/>
        <v>324830</v>
      </c>
      <c r="I755" s="360" t="s">
        <v>437</v>
      </c>
      <c r="J755" s="223" t="s">
        <v>3411</v>
      </c>
      <c r="K755" s="185"/>
    </row>
    <row r="756" spans="1:11" ht="15.6">
      <c r="A756" s="461">
        <v>45909</v>
      </c>
      <c r="B756" s="223" t="s">
        <v>2696</v>
      </c>
      <c r="C756" s="359" t="s">
        <v>195</v>
      </c>
      <c r="D756" s="359" t="s">
        <v>116</v>
      </c>
      <c r="E756" s="246"/>
      <c r="F756" s="246">
        <v>500</v>
      </c>
      <c r="G756" s="244"/>
      <c r="H756" s="245">
        <f t="shared" si="15"/>
        <v>324330</v>
      </c>
      <c r="I756" s="360" t="s">
        <v>437</v>
      </c>
      <c r="J756" s="223" t="s">
        <v>3411</v>
      </c>
      <c r="K756" s="185"/>
    </row>
    <row r="757" spans="1:11" ht="15.6">
      <c r="A757" s="461">
        <v>45911</v>
      </c>
      <c r="B757" s="223" t="s">
        <v>3380</v>
      </c>
      <c r="C757" s="359" t="s">
        <v>195</v>
      </c>
      <c r="D757" s="359" t="s">
        <v>116</v>
      </c>
      <c r="E757" s="246"/>
      <c r="F757" s="246">
        <v>500</v>
      </c>
      <c r="G757" s="244"/>
      <c r="H757" s="245">
        <f t="shared" si="15"/>
        <v>323830</v>
      </c>
      <c r="I757" s="360" t="s">
        <v>437</v>
      </c>
      <c r="J757" s="223" t="s">
        <v>3411</v>
      </c>
      <c r="K757" s="185"/>
    </row>
    <row r="758" spans="1:11" ht="15.6">
      <c r="A758" s="461">
        <v>45911</v>
      </c>
      <c r="B758" s="223" t="s">
        <v>3391</v>
      </c>
      <c r="C758" s="359" t="s">
        <v>195</v>
      </c>
      <c r="D758" s="359" t="s">
        <v>116</v>
      </c>
      <c r="E758" s="246"/>
      <c r="F758" s="246">
        <v>500</v>
      </c>
      <c r="G758" s="244"/>
      <c r="H758" s="245">
        <f t="shared" si="15"/>
        <v>323330</v>
      </c>
      <c r="I758" s="360" t="s">
        <v>437</v>
      </c>
      <c r="J758" s="223" t="s">
        <v>3411</v>
      </c>
      <c r="K758" s="185"/>
    </row>
    <row r="759" spans="1:11" ht="15.6">
      <c r="A759" s="461">
        <v>45911</v>
      </c>
      <c r="B759" s="223" t="s">
        <v>3377</v>
      </c>
      <c r="C759" s="359" t="s">
        <v>195</v>
      </c>
      <c r="D759" s="359" t="s">
        <v>116</v>
      </c>
      <c r="E759" s="246"/>
      <c r="F759" s="246">
        <v>500</v>
      </c>
      <c r="G759" s="244"/>
      <c r="H759" s="245">
        <f t="shared" si="15"/>
        <v>322830</v>
      </c>
      <c r="I759" s="360" t="s">
        <v>437</v>
      </c>
      <c r="J759" s="223" t="s">
        <v>3411</v>
      </c>
      <c r="K759" s="185"/>
    </row>
    <row r="760" spans="1:11" ht="15.6">
      <c r="A760" s="461">
        <v>45911</v>
      </c>
      <c r="B760" s="223" t="s">
        <v>3392</v>
      </c>
      <c r="C760" s="359" t="s">
        <v>195</v>
      </c>
      <c r="D760" s="359" t="s">
        <v>116</v>
      </c>
      <c r="E760" s="246"/>
      <c r="F760" s="246">
        <v>500</v>
      </c>
      <c r="G760" s="244"/>
      <c r="H760" s="245">
        <f t="shared" si="15"/>
        <v>322330</v>
      </c>
      <c r="I760" s="360" t="s">
        <v>437</v>
      </c>
      <c r="J760" s="223" t="s">
        <v>3411</v>
      </c>
      <c r="K760" s="185"/>
    </row>
    <row r="761" spans="1:11" ht="15.6">
      <c r="A761" s="461">
        <v>45911</v>
      </c>
      <c r="B761" s="223" t="s">
        <v>3377</v>
      </c>
      <c r="C761" s="359" t="s">
        <v>195</v>
      </c>
      <c r="D761" s="359" t="s">
        <v>116</v>
      </c>
      <c r="E761" s="246"/>
      <c r="F761" s="246">
        <v>500</v>
      </c>
      <c r="G761" s="244"/>
      <c r="H761" s="245">
        <f t="shared" si="15"/>
        <v>321830</v>
      </c>
      <c r="I761" s="360" t="s">
        <v>437</v>
      </c>
      <c r="J761" s="223" t="s">
        <v>3411</v>
      </c>
      <c r="K761" s="185"/>
    </row>
    <row r="762" spans="1:11" ht="15.6">
      <c r="A762" s="461">
        <v>45911</v>
      </c>
      <c r="B762" s="223" t="s">
        <v>2670</v>
      </c>
      <c r="C762" s="223" t="s">
        <v>123</v>
      </c>
      <c r="D762" s="359" t="s">
        <v>116</v>
      </c>
      <c r="E762" s="246">
        <v>112000</v>
      </c>
      <c r="F762" s="246"/>
      <c r="G762" s="244"/>
      <c r="H762" s="245">
        <f t="shared" si="15"/>
        <v>433830</v>
      </c>
      <c r="I762" s="360" t="s">
        <v>437</v>
      </c>
      <c r="J762" s="223" t="s">
        <v>3418</v>
      </c>
      <c r="K762" s="185"/>
    </row>
    <row r="763" spans="1:11" ht="15.6">
      <c r="A763" s="461">
        <v>45912</v>
      </c>
      <c r="B763" s="247" t="s">
        <v>3393</v>
      </c>
      <c r="C763" s="247" t="s">
        <v>176</v>
      </c>
      <c r="D763" s="247" t="s">
        <v>116</v>
      </c>
      <c r="E763" s="244"/>
      <c r="F763" s="244">
        <v>405000</v>
      </c>
      <c r="G763" s="244"/>
      <c r="H763" s="245">
        <f t="shared" si="15"/>
        <v>28830</v>
      </c>
      <c r="I763" s="360" t="s">
        <v>437</v>
      </c>
      <c r="J763" s="223" t="s">
        <v>3419</v>
      </c>
      <c r="K763" s="185"/>
    </row>
    <row r="764" spans="1:11" ht="15.6">
      <c r="A764" s="461">
        <v>45912</v>
      </c>
      <c r="B764" s="223" t="s">
        <v>3394</v>
      </c>
      <c r="C764" s="359" t="s">
        <v>195</v>
      </c>
      <c r="D764" s="359" t="s">
        <v>116</v>
      </c>
      <c r="E764" s="246"/>
      <c r="F764" s="246">
        <v>500</v>
      </c>
      <c r="G764" s="244"/>
      <c r="H764" s="245">
        <f t="shared" si="15"/>
        <v>28330</v>
      </c>
      <c r="I764" s="360" t="s">
        <v>437</v>
      </c>
      <c r="J764" s="223" t="s">
        <v>3411</v>
      </c>
      <c r="K764" s="185"/>
    </row>
    <row r="765" spans="1:11" ht="15.6">
      <c r="A765" s="461">
        <v>45912</v>
      </c>
      <c r="B765" s="223" t="s">
        <v>3395</v>
      </c>
      <c r="C765" s="359" t="s">
        <v>195</v>
      </c>
      <c r="D765" s="359" t="s">
        <v>116</v>
      </c>
      <c r="E765" s="246"/>
      <c r="F765" s="246">
        <v>500</v>
      </c>
      <c r="G765" s="244"/>
      <c r="H765" s="245">
        <f t="shared" si="15"/>
        <v>27830</v>
      </c>
      <c r="I765" s="360" t="s">
        <v>437</v>
      </c>
      <c r="J765" s="223" t="s">
        <v>3411</v>
      </c>
      <c r="K765" s="185"/>
    </row>
    <row r="766" spans="1:11" ht="15.6">
      <c r="A766" s="461">
        <v>45913</v>
      </c>
      <c r="B766" s="247" t="s">
        <v>3396</v>
      </c>
      <c r="C766" s="247" t="s">
        <v>176</v>
      </c>
      <c r="D766" s="247" t="s">
        <v>116</v>
      </c>
      <c r="E766" s="244"/>
      <c r="F766" s="244">
        <v>15000</v>
      </c>
      <c r="G766" s="244"/>
      <c r="H766" s="245">
        <f t="shared" si="15"/>
        <v>12830</v>
      </c>
      <c r="I766" s="360" t="s">
        <v>437</v>
      </c>
      <c r="J766" s="223" t="s">
        <v>3420</v>
      </c>
      <c r="K766" s="185"/>
    </row>
    <row r="767" spans="1:11" ht="15.6">
      <c r="A767" s="461">
        <v>45913</v>
      </c>
      <c r="B767" s="223" t="s">
        <v>3397</v>
      </c>
      <c r="C767" s="359" t="s">
        <v>195</v>
      </c>
      <c r="D767" s="359" t="s">
        <v>116</v>
      </c>
      <c r="E767" s="246"/>
      <c r="F767" s="246">
        <v>500</v>
      </c>
      <c r="G767" s="244"/>
      <c r="H767" s="245">
        <f t="shared" si="15"/>
        <v>12330</v>
      </c>
      <c r="I767" s="360" t="s">
        <v>437</v>
      </c>
      <c r="J767" s="223" t="s">
        <v>3411</v>
      </c>
      <c r="K767" s="185"/>
    </row>
    <row r="768" spans="1:11" ht="15.6">
      <c r="A768" s="461">
        <v>45913</v>
      </c>
      <c r="B768" s="223" t="s">
        <v>3398</v>
      </c>
      <c r="C768" s="359" t="s">
        <v>195</v>
      </c>
      <c r="D768" s="359" t="s">
        <v>116</v>
      </c>
      <c r="E768" s="246"/>
      <c r="F768" s="246">
        <v>500</v>
      </c>
      <c r="G768" s="244"/>
      <c r="H768" s="245">
        <f t="shared" si="15"/>
        <v>11830</v>
      </c>
      <c r="I768" s="360" t="s">
        <v>437</v>
      </c>
      <c r="J768" s="223" t="s">
        <v>3411</v>
      </c>
      <c r="K768" s="185"/>
    </row>
    <row r="769" spans="1:11" ht="15.6">
      <c r="A769" s="461">
        <v>45914</v>
      </c>
      <c r="B769" s="247" t="s">
        <v>3399</v>
      </c>
      <c r="C769" s="247" t="s">
        <v>176</v>
      </c>
      <c r="D769" s="247" t="s">
        <v>116</v>
      </c>
      <c r="E769" s="244"/>
      <c r="F769" s="244">
        <v>15000</v>
      </c>
      <c r="G769" s="244"/>
      <c r="H769" s="245">
        <f t="shared" si="15"/>
        <v>-3170</v>
      </c>
      <c r="I769" s="360" t="s">
        <v>437</v>
      </c>
      <c r="J769" s="223" t="s">
        <v>3421</v>
      </c>
      <c r="K769" s="185"/>
    </row>
    <row r="770" spans="1:11" ht="15.6">
      <c r="A770" s="461">
        <v>45914</v>
      </c>
      <c r="B770" s="223" t="s">
        <v>3400</v>
      </c>
      <c r="C770" s="359" t="s">
        <v>195</v>
      </c>
      <c r="D770" s="359" t="s">
        <v>116</v>
      </c>
      <c r="E770" s="246"/>
      <c r="F770" s="246">
        <v>500</v>
      </c>
      <c r="G770" s="244"/>
      <c r="H770" s="245">
        <f t="shared" si="15"/>
        <v>-3670</v>
      </c>
      <c r="I770" s="360" t="s">
        <v>437</v>
      </c>
      <c r="J770" s="223" t="s">
        <v>3411</v>
      </c>
      <c r="K770" s="185"/>
    </row>
    <row r="771" spans="1:11" ht="15.6">
      <c r="A771" s="461">
        <v>45914</v>
      </c>
      <c r="B771" s="181" t="s">
        <v>3401</v>
      </c>
      <c r="C771" s="243" t="s">
        <v>195</v>
      </c>
      <c r="D771" s="243" t="s">
        <v>116</v>
      </c>
      <c r="E771" s="244"/>
      <c r="F771" s="244">
        <v>2500</v>
      </c>
      <c r="G771" s="244"/>
      <c r="H771" s="245">
        <f t="shared" si="15"/>
        <v>-6170</v>
      </c>
      <c r="I771" s="360" t="s">
        <v>437</v>
      </c>
      <c r="J771" s="223" t="s">
        <v>3411</v>
      </c>
      <c r="K771" s="185"/>
    </row>
    <row r="772" spans="1:11" ht="15.6">
      <c r="A772" s="461">
        <v>45915</v>
      </c>
      <c r="B772" s="223" t="s">
        <v>2670</v>
      </c>
      <c r="C772" s="223" t="s">
        <v>123</v>
      </c>
      <c r="D772" s="359" t="s">
        <v>116</v>
      </c>
      <c r="E772" s="246">
        <v>20000</v>
      </c>
      <c r="F772" s="246"/>
      <c r="G772" s="244"/>
      <c r="H772" s="245">
        <f t="shared" si="15"/>
        <v>13830</v>
      </c>
      <c r="I772" s="360" t="s">
        <v>437</v>
      </c>
      <c r="J772" s="223" t="s">
        <v>3422</v>
      </c>
      <c r="K772" s="185"/>
    </row>
    <row r="773" spans="1:11" ht="15.6">
      <c r="A773" s="461">
        <v>45917</v>
      </c>
      <c r="B773" s="181" t="s">
        <v>3402</v>
      </c>
      <c r="C773" s="243" t="s">
        <v>151</v>
      </c>
      <c r="D773" s="243" t="s">
        <v>116</v>
      </c>
      <c r="E773" s="244">
        <v>10000</v>
      </c>
      <c r="F773" s="244"/>
      <c r="G773" s="244"/>
      <c r="H773" s="245">
        <f t="shared" si="15"/>
        <v>23830</v>
      </c>
      <c r="I773" s="360" t="s">
        <v>437</v>
      </c>
      <c r="J773" s="223" t="s">
        <v>3423</v>
      </c>
      <c r="K773" s="185"/>
    </row>
    <row r="774" spans="1:11" ht="15.6">
      <c r="A774" s="461">
        <v>45917</v>
      </c>
      <c r="B774" s="181" t="s">
        <v>3402</v>
      </c>
      <c r="C774" s="243" t="s">
        <v>151</v>
      </c>
      <c r="D774" s="243" t="s">
        <v>116</v>
      </c>
      <c r="E774" s="244"/>
      <c r="F774" s="244">
        <v>10000</v>
      </c>
      <c r="G774" s="244"/>
      <c r="H774" s="245">
        <f t="shared" si="15"/>
        <v>13830</v>
      </c>
      <c r="I774" s="360" t="s">
        <v>437</v>
      </c>
      <c r="J774" s="223" t="s">
        <v>3423</v>
      </c>
      <c r="K774" s="185"/>
    </row>
    <row r="775" spans="1:11" ht="15.6">
      <c r="A775" s="461">
        <v>45927</v>
      </c>
      <c r="B775" s="223" t="s">
        <v>3403</v>
      </c>
      <c r="C775" s="243" t="s">
        <v>195</v>
      </c>
      <c r="D775" s="243" t="s">
        <v>116</v>
      </c>
      <c r="E775" s="244"/>
      <c r="F775" s="244">
        <v>1000</v>
      </c>
      <c r="G775" s="244"/>
      <c r="H775" s="245">
        <f t="shared" si="15"/>
        <v>12830</v>
      </c>
      <c r="I775" s="360" t="s">
        <v>437</v>
      </c>
      <c r="J775" s="223" t="s">
        <v>3411</v>
      </c>
      <c r="K775" s="185"/>
    </row>
    <row r="776" spans="1:11" ht="15.6">
      <c r="A776" s="461">
        <v>45927</v>
      </c>
      <c r="B776" s="223" t="s">
        <v>3404</v>
      </c>
      <c r="C776" s="243" t="s">
        <v>195</v>
      </c>
      <c r="D776" s="243" t="s">
        <v>116</v>
      </c>
      <c r="E776" s="244"/>
      <c r="F776" s="244">
        <v>1000</v>
      </c>
      <c r="G776" s="244"/>
      <c r="H776" s="245">
        <f t="shared" si="15"/>
        <v>11830</v>
      </c>
      <c r="I776" s="360" t="s">
        <v>437</v>
      </c>
      <c r="J776" s="223" t="s">
        <v>3411</v>
      </c>
      <c r="K776" s="185"/>
    </row>
    <row r="777" spans="1:11" ht="15.6">
      <c r="A777" s="461">
        <v>45928</v>
      </c>
      <c r="B777" s="223" t="s">
        <v>3405</v>
      </c>
      <c r="C777" s="243" t="s">
        <v>195</v>
      </c>
      <c r="D777" s="243" t="s">
        <v>116</v>
      </c>
      <c r="E777" s="244"/>
      <c r="F777" s="244">
        <v>1000</v>
      </c>
      <c r="G777" s="244"/>
      <c r="H777" s="245">
        <f t="shared" si="15"/>
        <v>10830</v>
      </c>
      <c r="I777" s="360" t="s">
        <v>437</v>
      </c>
      <c r="J777" s="223" t="s">
        <v>3411</v>
      </c>
      <c r="K777" s="185"/>
    </row>
    <row r="778" spans="1:11" ht="15.6">
      <c r="A778" s="461">
        <v>45928</v>
      </c>
      <c r="B778" s="223" t="s">
        <v>2670</v>
      </c>
      <c r="C778" s="223" t="s">
        <v>123</v>
      </c>
      <c r="D778" s="359" t="s">
        <v>116</v>
      </c>
      <c r="E778" s="246">
        <v>130000</v>
      </c>
      <c r="F778" s="244"/>
      <c r="G778" s="244"/>
      <c r="H778" s="245">
        <f t="shared" si="15"/>
        <v>140830</v>
      </c>
      <c r="I778" s="360" t="s">
        <v>437</v>
      </c>
      <c r="J778" s="223" t="s">
        <v>3424</v>
      </c>
      <c r="K778" s="185"/>
    </row>
    <row r="779" spans="1:11" ht="15.6">
      <c r="A779" s="461">
        <v>45928</v>
      </c>
      <c r="B779" s="181" t="s">
        <v>3406</v>
      </c>
      <c r="C779" s="243" t="s">
        <v>195</v>
      </c>
      <c r="D779" s="243" t="s">
        <v>116</v>
      </c>
      <c r="E779" s="244"/>
      <c r="F779" s="244">
        <v>9000</v>
      </c>
      <c r="G779" s="244"/>
      <c r="H779" s="245">
        <f t="shared" si="15"/>
        <v>131830</v>
      </c>
      <c r="I779" s="360" t="s">
        <v>437</v>
      </c>
      <c r="J779" s="223" t="s">
        <v>3425</v>
      </c>
      <c r="K779" s="185"/>
    </row>
    <row r="780" spans="1:11" ht="15.6">
      <c r="A780" s="461">
        <v>45928</v>
      </c>
      <c r="B780" s="223" t="s">
        <v>3404</v>
      </c>
      <c r="C780" s="243" t="s">
        <v>195</v>
      </c>
      <c r="D780" s="243" t="s">
        <v>116</v>
      </c>
      <c r="E780" s="244"/>
      <c r="F780" s="244">
        <v>1000</v>
      </c>
      <c r="G780" s="244"/>
      <c r="H780" s="245">
        <f t="shared" si="15"/>
        <v>130830</v>
      </c>
      <c r="I780" s="360" t="s">
        <v>437</v>
      </c>
      <c r="J780" s="223" t="s">
        <v>3411</v>
      </c>
      <c r="K780" s="185"/>
    </row>
    <row r="781" spans="1:11" ht="15.6">
      <c r="A781" s="461">
        <v>45929</v>
      </c>
      <c r="B781" s="223" t="s">
        <v>3407</v>
      </c>
      <c r="C781" s="243" t="s">
        <v>195</v>
      </c>
      <c r="D781" s="243" t="s">
        <v>116</v>
      </c>
      <c r="E781" s="244"/>
      <c r="F781" s="244">
        <v>1000</v>
      </c>
      <c r="G781" s="244"/>
      <c r="H781" s="245">
        <f t="shared" si="15"/>
        <v>129830</v>
      </c>
      <c r="I781" s="360" t="s">
        <v>437</v>
      </c>
      <c r="J781" s="223" t="s">
        <v>3411</v>
      </c>
      <c r="K781" s="185"/>
    </row>
    <row r="782" spans="1:11" ht="15.6">
      <c r="A782" s="461">
        <v>45929</v>
      </c>
      <c r="B782" s="181" t="s">
        <v>3408</v>
      </c>
      <c r="C782" s="243" t="s">
        <v>151</v>
      </c>
      <c r="D782" s="243" t="s">
        <v>116</v>
      </c>
      <c r="E782" s="244">
        <v>10000</v>
      </c>
      <c r="F782" s="244"/>
      <c r="G782" s="244"/>
      <c r="H782" s="245">
        <f t="shared" si="15"/>
        <v>139830</v>
      </c>
      <c r="I782" s="360" t="s">
        <v>437</v>
      </c>
      <c r="J782" s="223" t="s">
        <v>3426</v>
      </c>
      <c r="K782" s="185"/>
    </row>
    <row r="783" spans="1:11" ht="15.6">
      <c r="A783" s="461">
        <v>45929</v>
      </c>
      <c r="B783" s="181" t="s">
        <v>3408</v>
      </c>
      <c r="C783" s="243" t="s">
        <v>151</v>
      </c>
      <c r="D783" s="243" t="s">
        <v>116</v>
      </c>
      <c r="E783" s="244"/>
      <c r="F783" s="244">
        <v>10000</v>
      </c>
      <c r="G783" s="244"/>
      <c r="H783" s="245">
        <f t="shared" si="15"/>
        <v>129830</v>
      </c>
      <c r="I783" s="360" t="s">
        <v>437</v>
      </c>
      <c r="J783" s="223" t="s">
        <v>3426</v>
      </c>
      <c r="K783" s="185"/>
    </row>
    <row r="784" spans="1:11" ht="15.6">
      <c r="A784" s="461">
        <v>45929</v>
      </c>
      <c r="B784" s="223" t="s">
        <v>3409</v>
      </c>
      <c r="C784" s="243" t="s">
        <v>195</v>
      </c>
      <c r="D784" s="243" t="s">
        <v>116</v>
      </c>
      <c r="E784" s="244"/>
      <c r="F784" s="244">
        <v>1000</v>
      </c>
      <c r="G784" s="244"/>
      <c r="H784" s="245">
        <f t="shared" si="15"/>
        <v>128830</v>
      </c>
      <c r="I784" s="360" t="s">
        <v>437</v>
      </c>
      <c r="J784" s="223" t="s">
        <v>3411</v>
      </c>
      <c r="K784" s="185"/>
    </row>
    <row r="785" spans="1:11" ht="15.6">
      <c r="A785" s="461">
        <v>45929</v>
      </c>
      <c r="B785" s="247" t="s">
        <v>3410</v>
      </c>
      <c r="C785" s="247" t="s">
        <v>176</v>
      </c>
      <c r="D785" s="247" t="s">
        <v>116</v>
      </c>
      <c r="E785" s="244"/>
      <c r="F785" s="244">
        <v>60000</v>
      </c>
      <c r="G785" s="244"/>
      <c r="H785" s="245">
        <f t="shared" si="15"/>
        <v>68830</v>
      </c>
      <c r="I785" s="360" t="s">
        <v>437</v>
      </c>
      <c r="J785" s="223" t="s">
        <v>3427</v>
      </c>
      <c r="K785" s="185"/>
    </row>
    <row r="786" spans="1:11" ht="15.6">
      <c r="A786" s="187"/>
      <c r="B786" s="185"/>
      <c r="C786" s="185"/>
      <c r="D786" s="185"/>
      <c r="E786" s="189">
        <f>SUM(E728:E785)</f>
        <v>517000</v>
      </c>
      <c r="F786" s="189">
        <f>SUM(F728:F785)</f>
        <v>725000</v>
      </c>
      <c r="G786" s="189"/>
      <c r="H786" s="190">
        <f>+E786-F786+H727</f>
        <v>68830</v>
      </c>
      <c r="I786" s="185"/>
      <c r="J786" s="185"/>
      <c r="K786" s="185"/>
    </row>
    <row r="787" spans="1:11" ht="15.6">
      <c r="A787" s="187"/>
      <c r="B787" s="185"/>
      <c r="C787" s="188" t="s">
        <v>461</v>
      </c>
      <c r="D787" s="185"/>
      <c r="E787" s="189"/>
      <c r="F787" s="189"/>
      <c r="G787" s="189"/>
      <c r="H787" s="190"/>
      <c r="I787" s="185"/>
      <c r="J787" s="185"/>
      <c r="K787" s="185"/>
    </row>
    <row r="788" spans="1:11" ht="15.6">
      <c r="A788" s="187"/>
      <c r="B788" s="185"/>
      <c r="C788" s="185"/>
      <c r="D788" s="185"/>
      <c r="E788" s="189"/>
      <c r="F788" s="189"/>
      <c r="G788" s="189"/>
      <c r="H788" s="190"/>
      <c r="I788" s="185"/>
      <c r="J788" s="185"/>
      <c r="K788" s="185"/>
    </row>
    <row r="789" spans="1:11" ht="15.6">
      <c r="A789" s="191" t="s">
        <v>0</v>
      </c>
      <c r="B789" s="192" t="s">
        <v>445</v>
      </c>
      <c r="C789" s="192" t="s">
        <v>446</v>
      </c>
      <c r="D789" s="192" t="s">
        <v>447</v>
      </c>
      <c r="E789" s="193" t="s">
        <v>448</v>
      </c>
      <c r="F789" s="193" t="s">
        <v>449</v>
      </c>
      <c r="G789" s="193"/>
      <c r="H789" s="194" t="s">
        <v>30</v>
      </c>
      <c r="I789" s="192" t="s">
        <v>450</v>
      </c>
      <c r="J789" s="192" t="s">
        <v>451</v>
      </c>
      <c r="K789" s="195"/>
    </row>
    <row r="790" spans="1:11" ht="15.6">
      <c r="A790" s="146">
        <v>45901</v>
      </c>
      <c r="B790" s="127" t="s">
        <v>2878</v>
      </c>
      <c r="C790" s="203"/>
      <c r="D790" s="181" t="s">
        <v>123</v>
      </c>
      <c r="E790" s="202"/>
      <c r="F790" s="202"/>
      <c r="G790" s="202"/>
      <c r="H790" s="165">
        <v>303050</v>
      </c>
      <c r="I790" s="186" t="s">
        <v>212</v>
      </c>
      <c r="J790" s="186"/>
      <c r="K790" s="185"/>
    </row>
    <row r="791" spans="1:11" ht="15.6">
      <c r="A791" s="224">
        <v>45901</v>
      </c>
      <c r="B791" s="76" t="s">
        <v>2070</v>
      </c>
      <c r="C791" s="223" t="s">
        <v>173</v>
      </c>
      <c r="D791" s="76" t="s">
        <v>119</v>
      </c>
      <c r="E791" s="222"/>
      <c r="F791" s="222">
        <v>37000</v>
      </c>
      <c r="G791" s="225"/>
      <c r="H791" s="165">
        <f t="shared" ref="H791:H862" si="16">+H790+E791-F791</f>
        <v>266050</v>
      </c>
      <c r="I791" s="76" t="s">
        <v>212</v>
      </c>
      <c r="J791" s="76" t="s">
        <v>3468</v>
      </c>
      <c r="K791" s="185"/>
    </row>
    <row r="792" spans="1:11" ht="15.6">
      <c r="A792" s="224">
        <v>45901</v>
      </c>
      <c r="B792" s="76" t="s">
        <v>3627</v>
      </c>
      <c r="C792" s="223" t="s">
        <v>176</v>
      </c>
      <c r="D792" s="76" t="s">
        <v>119</v>
      </c>
      <c r="E792" s="222"/>
      <c r="F792" s="222">
        <v>240000</v>
      </c>
      <c r="G792" s="225"/>
      <c r="H792" s="165">
        <f t="shared" si="16"/>
        <v>26050</v>
      </c>
      <c r="I792" s="76" t="s">
        <v>212</v>
      </c>
      <c r="J792" s="76" t="s">
        <v>3469</v>
      </c>
      <c r="K792" s="185"/>
    </row>
    <row r="793" spans="1:11" ht="15.6">
      <c r="A793" s="224">
        <v>45901</v>
      </c>
      <c r="B793" s="76" t="s">
        <v>2736</v>
      </c>
      <c r="C793" s="223" t="s">
        <v>173</v>
      </c>
      <c r="D793" s="76" t="s">
        <v>119</v>
      </c>
      <c r="E793" s="222"/>
      <c r="F793" s="222">
        <v>500</v>
      </c>
      <c r="G793" s="225"/>
      <c r="H793" s="165">
        <f t="shared" si="16"/>
        <v>25550</v>
      </c>
      <c r="I793" s="76" t="s">
        <v>212</v>
      </c>
      <c r="J793" s="76" t="s">
        <v>3470</v>
      </c>
      <c r="K793" s="185"/>
    </row>
    <row r="794" spans="1:11" ht="15.6">
      <c r="A794" s="224">
        <v>45901</v>
      </c>
      <c r="B794" s="181" t="s">
        <v>3429</v>
      </c>
      <c r="C794" s="243" t="s">
        <v>151</v>
      </c>
      <c r="D794" s="223" t="s">
        <v>119</v>
      </c>
      <c r="E794" s="222">
        <v>10000</v>
      </c>
      <c r="F794" s="222"/>
      <c r="G794" s="225"/>
      <c r="H794" s="165">
        <f t="shared" si="16"/>
        <v>35550</v>
      </c>
      <c r="I794" s="76" t="s">
        <v>212</v>
      </c>
      <c r="J794" s="76" t="s">
        <v>3471</v>
      </c>
      <c r="K794" s="185"/>
    </row>
    <row r="795" spans="1:11" ht="15.6">
      <c r="A795" s="224">
        <v>45901</v>
      </c>
      <c r="B795" s="181" t="s">
        <v>3429</v>
      </c>
      <c r="C795" s="243" t="s">
        <v>151</v>
      </c>
      <c r="D795" s="223" t="s">
        <v>119</v>
      </c>
      <c r="E795" s="222"/>
      <c r="F795" s="222">
        <v>10000</v>
      </c>
      <c r="G795" s="225"/>
      <c r="H795" s="165">
        <f t="shared" si="16"/>
        <v>25550</v>
      </c>
      <c r="I795" s="76" t="s">
        <v>212</v>
      </c>
      <c r="J795" s="76" t="s">
        <v>3471</v>
      </c>
      <c r="K795" s="185"/>
    </row>
    <row r="796" spans="1:11" ht="15.6">
      <c r="A796" s="224">
        <v>45902</v>
      </c>
      <c r="B796" s="76" t="s">
        <v>3628</v>
      </c>
      <c r="C796" s="223" t="s">
        <v>176</v>
      </c>
      <c r="D796" s="76" t="s">
        <v>119</v>
      </c>
      <c r="E796" s="222"/>
      <c r="F796" s="222">
        <v>15000</v>
      </c>
      <c r="G796" s="225"/>
      <c r="H796" s="165">
        <f t="shared" si="16"/>
        <v>10550</v>
      </c>
      <c r="I796" s="76" t="s">
        <v>212</v>
      </c>
      <c r="J796" s="76" t="s">
        <v>3472</v>
      </c>
      <c r="K796" s="185"/>
    </row>
    <row r="797" spans="1:11" ht="15.6">
      <c r="A797" s="224">
        <v>45903</v>
      </c>
      <c r="B797" s="76" t="s">
        <v>3629</v>
      </c>
      <c r="C797" s="223" t="s">
        <v>176</v>
      </c>
      <c r="D797" s="76" t="s">
        <v>119</v>
      </c>
      <c r="E797" s="222"/>
      <c r="F797" s="222">
        <v>15000</v>
      </c>
      <c r="G797" s="225"/>
      <c r="H797" s="165">
        <f t="shared" si="16"/>
        <v>-4450</v>
      </c>
      <c r="I797" s="76" t="s">
        <v>212</v>
      </c>
      <c r="J797" s="76" t="s">
        <v>3473</v>
      </c>
      <c r="K797" s="185"/>
    </row>
    <row r="798" spans="1:11" ht="15.6">
      <c r="A798" s="224">
        <v>45903</v>
      </c>
      <c r="B798" s="76" t="s">
        <v>3430</v>
      </c>
      <c r="C798" s="223" t="s">
        <v>173</v>
      </c>
      <c r="D798" s="76" t="s">
        <v>119</v>
      </c>
      <c r="E798" s="222"/>
      <c r="F798" s="222">
        <v>3000</v>
      </c>
      <c r="G798" s="225"/>
      <c r="H798" s="165">
        <f t="shared" si="16"/>
        <v>-7450</v>
      </c>
      <c r="I798" s="76" t="s">
        <v>212</v>
      </c>
      <c r="J798" s="76" t="s">
        <v>3470</v>
      </c>
      <c r="K798" s="185"/>
    </row>
    <row r="799" spans="1:11" ht="15.6">
      <c r="A799" s="224">
        <v>45904</v>
      </c>
      <c r="B799" s="76" t="s">
        <v>3630</v>
      </c>
      <c r="C799" s="223" t="s">
        <v>123</v>
      </c>
      <c r="D799" s="76" t="s">
        <v>119</v>
      </c>
      <c r="E799" s="222">
        <v>20000</v>
      </c>
      <c r="F799" s="222"/>
      <c r="G799" s="225"/>
      <c r="H799" s="165">
        <f t="shared" si="16"/>
        <v>12550</v>
      </c>
      <c r="I799" s="76" t="s">
        <v>212</v>
      </c>
      <c r="J799" s="76" t="s">
        <v>3474</v>
      </c>
      <c r="K799" s="185"/>
    </row>
    <row r="800" spans="1:11" ht="15.6">
      <c r="A800" s="224">
        <v>45904</v>
      </c>
      <c r="B800" s="76" t="s">
        <v>2224</v>
      </c>
      <c r="C800" s="223" t="s">
        <v>173</v>
      </c>
      <c r="D800" s="76" t="s">
        <v>119</v>
      </c>
      <c r="E800" s="222"/>
      <c r="F800" s="222">
        <v>1000</v>
      </c>
      <c r="G800" s="225"/>
      <c r="H800" s="165">
        <f t="shared" si="16"/>
        <v>11550</v>
      </c>
      <c r="I800" s="76" t="s">
        <v>212</v>
      </c>
      <c r="J800" s="76" t="s">
        <v>3470</v>
      </c>
      <c r="K800" s="185"/>
    </row>
    <row r="801" spans="1:11" ht="15.6">
      <c r="A801" s="224">
        <v>45904</v>
      </c>
      <c r="B801" s="76" t="s">
        <v>3432</v>
      </c>
      <c r="C801" s="223" t="s">
        <v>173</v>
      </c>
      <c r="D801" s="76" t="s">
        <v>119</v>
      </c>
      <c r="E801" s="222"/>
      <c r="F801" s="222">
        <v>1000</v>
      </c>
      <c r="G801" s="225"/>
      <c r="H801" s="165">
        <f t="shared" si="16"/>
        <v>10550</v>
      </c>
      <c r="I801" s="76" t="s">
        <v>212</v>
      </c>
      <c r="J801" s="76" t="s">
        <v>3470</v>
      </c>
      <c r="K801" s="185"/>
    </row>
    <row r="802" spans="1:11" ht="15.6">
      <c r="A802" s="224">
        <v>45904</v>
      </c>
      <c r="B802" s="76" t="s">
        <v>3433</v>
      </c>
      <c r="C802" s="223" t="s">
        <v>173</v>
      </c>
      <c r="D802" s="76" t="s">
        <v>119</v>
      </c>
      <c r="E802" s="222"/>
      <c r="F802" s="222">
        <v>1000</v>
      </c>
      <c r="G802" s="225"/>
      <c r="H802" s="165">
        <f t="shared" si="16"/>
        <v>9550</v>
      </c>
      <c r="I802" s="76" t="s">
        <v>212</v>
      </c>
      <c r="J802" s="76" t="s">
        <v>3470</v>
      </c>
      <c r="K802" s="185"/>
    </row>
    <row r="803" spans="1:11" ht="15.6">
      <c r="A803" s="224">
        <v>45904</v>
      </c>
      <c r="B803" s="76" t="s">
        <v>3434</v>
      </c>
      <c r="C803" s="223" t="s">
        <v>173</v>
      </c>
      <c r="D803" s="76" t="s">
        <v>119</v>
      </c>
      <c r="E803" s="222"/>
      <c r="F803" s="222">
        <v>1000</v>
      </c>
      <c r="G803" s="225"/>
      <c r="H803" s="165">
        <f t="shared" si="16"/>
        <v>8550</v>
      </c>
      <c r="I803" s="76" t="s">
        <v>212</v>
      </c>
      <c r="J803" s="76" t="s">
        <v>3470</v>
      </c>
      <c r="K803" s="185"/>
    </row>
    <row r="804" spans="1:11" ht="15.6">
      <c r="A804" s="224">
        <v>45904</v>
      </c>
      <c r="B804" s="76" t="s">
        <v>2227</v>
      </c>
      <c r="C804" s="223" t="s">
        <v>173</v>
      </c>
      <c r="D804" s="76" t="s">
        <v>119</v>
      </c>
      <c r="E804" s="222"/>
      <c r="F804" s="222">
        <v>1000</v>
      </c>
      <c r="G804" s="225"/>
      <c r="H804" s="165">
        <f t="shared" si="16"/>
        <v>7550</v>
      </c>
      <c r="I804" s="76" t="s">
        <v>212</v>
      </c>
      <c r="J804" s="76" t="s">
        <v>3470</v>
      </c>
      <c r="K804" s="185"/>
    </row>
    <row r="805" spans="1:11" ht="15.6">
      <c r="A805" s="224">
        <v>45904</v>
      </c>
      <c r="B805" s="76" t="s">
        <v>2228</v>
      </c>
      <c r="C805" s="223" t="s">
        <v>173</v>
      </c>
      <c r="D805" s="76" t="s">
        <v>119</v>
      </c>
      <c r="E805" s="222"/>
      <c r="F805" s="222">
        <v>1000</v>
      </c>
      <c r="G805" s="225"/>
      <c r="H805" s="165">
        <f t="shared" si="16"/>
        <v>6550</v>
      </c>
      <c r="I805" s="76" t="s">
        <v>212</v>
      </c>
      <c r="J805" s="76" t="s">
        <v>3470</v>
      </c>
      <c r="K805" s="185"/>
    </row>
    <row r="806" spans="1:11" ht="15.6">
      <c r="A806" s="224">
        <v>45904</v>
      </c>
      <c r="B806" s="76" t="s">
        <v>3435</v>
      </c>
      <c r="C806" s="223" t="s">
        <v>173</v>
      </c>
      <c r="D806" s="76" t="s">
        <v>119</v>
      </c>
      <c r="E806" s="222"/>
      <c r="F806" s="222">
        <v>1000</v>
      </c>
      <c r="G806" s="225"/>
      <c r="H806" s="165">
        <f t="shared" si="16"/>
        <v>5550</v>
      </c>
      <c r="I806" s="76" t="s">
        <v>212</v>
      </c>
      <c r="J806" s="76" t="s">
        <v>3470</v>
      </c>
      <c r="K806" s="185"/>
    </row>
    <row r="807" spans="1:11" ht="15.6">
      <c r="A807" s="224">
        <v>45904</v>
      </c>
      <c r="B807" s="179" t="s">
        <v>3436</v>
      </c>
      <c r="C807" s="127" t="s">
        <v>2089</v>
      </c>
      <c r="D807" s="76" t="s">
        <v>119</v>
      </c>
      <c r="E807" s="218">
        <v>6000</v>
      </c>
      <c r="F807" s="222"/>
      <c r="G807" s="225"/>
      <c r="H807" s="165">
        <f t="shared" si="16"/>
        <v>11550</v>
      </c>
      <c r="I807" s="76" t="s">
        <v>212</v>
      </c>
      <c r="J807" s="127" t="s">
        <v>3475</v>
      </c>
      <c r="K807" s="185"/>
    </row>
    <row r="808" spans="1:11" ht="15.6">
      <c r="A808" s="430">
        <v>45904</v>
      </c>
      <c r="B808" s="179" t="s">
        <v>3437</v>
      </c>
      <c r="C808" s="127" t="s">
        <v>2089</v>
      </c>
      <c r="D808" s="76" t="s">
        <v>119</v>
      </c>
      <c r="E808" s="218">
        <v>6000</v>
      </c>
      <c r="F808" s="222"/>
      <c r="G808" s="225"/>
      <c r="H808" s="165">
        <f t="shared" si="16"/>
        <v>17550</v>
      </c>
      <c r="I808" s="76" t="s">
        <v>212</v>
      </c>
      <c r="J808" s="127" t="s">
        <v>3475</v>
      </c>
      <c r="K808" s="185"/>
    </row>
    <row r="809" spans="1:11" ht="15.6">
      <c r="A809" s="430">
        <v>45904</v>
      </c>
      <c r="B809" s="179" t="s">
        <v>3438</v>
      </c>
      <c r="C809" s="127" t="s">
        <v>2089</v>
      </c>
      <c r="D809" s="76" t="s">
        <v>119</v>
      </c>
      <c r="E809" s="218">
        <v>6000</v>
      </c>
      <c r="F809" s="222"/>
      <c r="G809" s="225"/>
      <c r="H809" s="165">
        <f t="shared" si="16"/>
        <v>23550</v>
      </c>
      <c r="I809" s="76" t="s">
        <v>212</v>
      </c>
      <c r="J809" s="127" t="s">
        <v>3475</v>
      </c>
      <c r="K809" s="185"/>
    </row>
    <row r="810" spans="1:11" ht="15.6">
      <c r="A810" s="430">
        <v>45904</v>
      </c>
      <c r="B810" s="179" t="s">
        <v>3439</v>
      </c>
      <c r="C810" s="127" t="s">
        <v>2089</v>
      </c>
      <c r="D810" s="76" t="s">
        <v>119</v>
      </c>
      <c r="E810" s="218">
        <v>6000</v>
      </c>
      <c r="F810" s="222"/>
      <c r="G810" s="225"/>
      <c r="H810" s="165">
        <f t="shared" si="16"/>
        <v>29550</v>
      </c>
      <c r="I810" s="76" t="s">
        <v>212</v>
      </c>
      <c r="J810" s="127" t="s">
        <v>3475</v>
      </c>
      <c r="K810" s="185"/>
    </row>
    <row r="811" spans="1:11" ht="15.6">
      <c r="A811" s="430">
        <v>45904</v>
      </c>
      <c r="B811" s="179" t="s">
        <v>3440</v>
      </c>
      <c r="C811" s="127" t="s">
        <v>2089</v>
      </c>
      <c r="D811" s="76" t="s">
        <v>119</v>
      </c>
      <c r="E811" s="218">
        <v>6000</v>
      </c>
      <c r="F811" s="222"/>
      <c r="G811" s="225"/>
      <c r="H811" s="165">
        <f t="shared" si="16"/>
        <v>35550</v>
      </c>
      <c r="I811" s="76" t="s">
        <v>212</v>
      </c>
      <c r="J811" s="127" t="s">
        <v>3475</v>
      </c>
      <c r="K811" s="185"/>
    </row>
    <row r="812" spans="1:11" ht="15.6">
      <c r="A812" s="430">
        <v>45904</v>
      </c>
      <c r="B812" s="179" t="s">
        <v>3441</v>
      </c>
      <c r="C812" s="127" t="s">
        <v>2089</v>
      </c>
      <c r="D812" s="76" t="s">
        <v>119</v>
      </c>
      <c r="E812" s="218">
        <v>6000</v>
      </c>
      <c r="F812" s="222"/>
      <c r="G812" s="225"/>
      <c r="H812" s="165">
        <f t="shared" si="16"/>
        <v>41550</v>
      </c>
      <c r="I812" s="76" t="s">
        <v>212</v>
      </c>
      <c r="J812" s="127" t="s">
        <v>3475</v>
      </c>
      <c r="K812" s="185"/>
    </row>
    <row r="813" spans="1:11" ht="15.6">
      <c r="A813" s="430">
        <v>45904</v>
      </c>
      <c r="B813" s="179" t="s">
        <v>3442</v>
      </c>
      <c r="C813" s="127" t="s">
        <v>2089</v>
      </c>
      <c r="D813" s="76" t="s">
        <v>119</v>
      </c>
      <c r="E813" s="218">
        <v>6000</v>
      </c>
      <c r="F813" s="222"/>
      <c r="G813" s="225"/>
      <c r="H813" s="165">
        <f t="shared" si="16"/>
        <v>47550</v>
      </c>
      <c r="I813" s="76" t="s">
        <v>212</v>
      </c>
      <c r="J813" s="127" t="s">
        <v>3475</v>
      </c>
      <c r="K813" s="185"/>
    </row>
    <row r="814" spans="1:11" ht="15.6">
      <c r="A814" s="430">
        <v>45904</v>
      </c>
      <c r="B814" s="179" t="s">
        <v>3443</v>
      </c>
      <c r="C814" s="127" t="s">
        <v>2089</v>
      </c>
      <c r="D814" s="76" t="s">
        <v>119</v>
      </c>
      <c r="E814" s="218">
        <v>6000</v>
      </c>
      <c r="F814" s="222"/>
      <c r="G814" s="225"/>
      <c r="H814" s="165">
        <f t="shared" si="16"/>
        <v>53550</v>
      </c>
      <c r="I814" s="76" t="s">
        <v>212</v>
      </c>
      <c r="J814" s="127" t="s">
        <v>3475</v>
      </c>
      <c r="K814" s="185"/>
    </row>
    <row r="815" spans="1:11" ht="15.6">
      <c r="A815" s="430">
        <v>45904</v>
      </c>
      <c r="B815" s="179" t="s">
        <v>3444</v>
      </c>
      <c r="C815" s="127" t="s">
        <v>2089</v>
      </c>
      <c r="D815" s="76" t="s">
        <v>119</v>
      </c>
      <c r="E815" s="218">
        <v>6000</v>
      </c>
      <c r="F815" s="222"/>
      <c r="G815" s="225"/>
      <c r="H815" s="165">
        <f t="shared" si="16"/>
        <v>59550</v>
      </c>
      <c r="I815" s="76" t="s">
        <v>212</v>
      </c>
      <c r="J815" s="127" t="s">
        <v>3475</v>
      </c>
      <c r="K815" s="185"/>
    </row>
    <row r="816" spans="1:11" ht="15.6">
      <c r="A816" s="430">
        <v>45904</v>
      </c>
      <c r="B816" s="179" t="s">
        <v>3445</v>
      </c>
      <c r="C816" s="127" t="s">
        <v>2089</v>
      </c>
      <c r="D816" s="76" t="s">
        <v>119</v>
      </c>
      <c r="E816" s="218">
        <v>6000</v>
      </c>
      <c r="F816" s="222"/>
      <c r="G816" s="225"/>
      <c r="H816" s="165">
        <f t="shared" si="16"/>
        <v>65550</v>
      </c>
      <c r="I816" s="76" t="s">
        <v>212</v>
      </c>
      <c r="J816" s="127" t="s">
        <v>3475</v>
      </c>
      <c r="K816" s="185"/>
    </row>
    <row r="817" spans="1:11" ht="15.6">
      <c r="A817" s="430">
        <v>45904</v>
      </c>
      <c r="B817" s="179" t="s">
        <v>3446</v>
      </c>
      <c r="C817" s="127" t="s">
        <v>2089</v>
      </c>
      <c r="D817" s="76" t="s">
        <v>119</v>
      </c>
      <c r="E817" s="218">
        <v>6000</v>
      </c>
      <c r="F817" s="222"/>
      <c r="G817" s="225"/>
      <c r="H817" s="165">
        <f t="shared" si="16"/>
        <v>71550</v>
      </c>
      <c r="I817" s="76" t="s">
        <v>212</v>
      </c>
      <c r="J817" s="127" t="s">
        <v>3475</v>
      </c>
      <c r="K817" s="185"/>
    </row>
    <row r="818" spans="1:11" ht="15.6">
      <c r="A818" s="430">
        <v>45904</v>
      </c>
      <c r="B818" s="179" t="s">
        <v>3447</v>
      </c>
      <c r="C818" s="127" t="s">
        <v>2089</v>
      </c>
      <c r="D818" s="76" t="s">
        <v>119</v>
      </c>
      <c r="E818" s="218">
        <v>6000</v>
      </c>
      <c r="F818" s="222"/>
      <c r="G818" s="225"/>
      <c r="H818" s="165">
        <f t="shared" si="16"/>
        <v>77550</v>
      </c>
      <c r="I818" s="76" t="s">
        <v>212</v>
      </c>
      <c r="J818" s="127" t="s">
        <v>3475</v>
      </c>
      <c r="K818" s="185"/>
    </row>
    <row r="819" spans="1:11" ht="15.6">
      <c r="A819" s="430">
        <v>45904</v>
      </c>
      <c r="B819" s="179" t="s">
        <v>3448</v>
      </c>
      <c r="C819" s="127" t="s">
        <v>2089</v>
      </c>
      <c r="D819" s="76" t="s">
        <v>119</v>
      </c>
      <c r="E819" s="218">
        <v>6000</v>
      </c>
      <c r="F819" s="222"/>
      <c r="G819" s="225"/>
      <c r="H819" s="165">
        <f t="shared" si="16"/>
        <v>83550</v>
      </c>
      <c r="I819" s="76" t="s">
        <v>212</v>
      </c>
      <c r="J819" s="127" t="s">
        <v>3475</v>
      </c>
      <c r="K819" s="185"/>
    </row>
    <row r="820" spans="1:11" ht="15.6">
      <c r="A820" s="430">
        <v>45904</v>
      </c>
      <c r="B820" s="179" t="s">
        <v>3449</v>
      </c>
      <c r="C820" s="127" t="s">
        <v>2089</v>
      </c>
      <c r="D820" s="76" t="s">
        <v>119</v>
      </c>
      <c r="E820" s="218">
        <v>6000</v>
      </c>
      <c r="F820" s="222"/>
      <c r="G820" s="225"/>
      <c r="H820" s="165">
        <f t="shared" si="16"/>
        <v>89550</v>
      </c>
      <c r="I820" s="76" t="s">
        <v>212</v>
      </c>
      <c r="J820" s="127" t="s">
        <v>3475</v>
      </c>
      <c r="K820" s="185"/>
    </row>
    <row r="821" spans="1:11" ht="15.6">
      <c r="A821" s="430">
        <v>45904</v>
      </c>
      <c r="B821" s="179" t="s">
        <v>3450</v>
      </c>
      <c r="C821" s="127" t="s">
        <v>2089</v>
      </c>
      <c r="D821" s="76" t="s">
        <v>119</v>
      </c>
      <c r="E821" s="218">
        <v>10000</v>
      </c>
      <c r="F821" s="222"/>
      <c r="G821" s="225"/>
      <c r="H821" s="165">
        <f t="shared" si="16"/>
        <v>99550</v>
      </c>
      <c r="I821" s="76" t="s">
        <v>212</v>
      </c>
      <c r="J821" s="127" t="s">
        <v>3476</v>
      </c>
      <c r="K821" s="185"/>
    </row>
    <row r="822" spans="1:11" ht="15.6">
      <c r="A822" s="430">
        <v>45904</v>
      </c>
      <c r="B822" s="179" t="s">
        <v>3451</v>
      </c>
      <c r="C822" s="127" t="s">
        <v>2089</v>
      </c>
      <c r="D822" s="76" t="s">
        <v>119</v>
      </c>
      <c r="E822" s="218">
        <v>10000</v>
      </c>
      <c r="F822" s="222"/>
      <c r="G822" s="225"/>
      <c r="H822" s="165">
        <f t="shared" si="16"/>
        <v>109550</v>
      </c>
      <c r="I822" s="76" t="s">
        <v>212</v>
      </c>
      <c r="J822" s="127" t="s">
        <v>3476</v>
      </c>
      <c r="K822" s="185"/>
    </row>
    <row r="823" spans="1:11" ht="15.6">
      <c r="A823" s="430">
        <v>45904</v>
      </c>
      <c r="B823" s="179" t="s">
        <v>3452</v>
      </c>
      <c r="C823" s="127" t="s">
        <v>2089</v>
      </c>
      <c r="D823" s="76" t="s">
        <v>119</v>
      </c>
      <c r="E823" s="218">
        <v>10000</v>
      </c>
      <c r="F823" s="222"/>
      <c r="G823" s="225"/>
      <c r="H823" s="165">
        <f t="shared" si="16"/>
        <v>119550</v>
      </c>
      <c r="I823" s="76" t="s">
        <v>212</v>
      </c>
      <c r="J823" s="127" t="s">
        <v>3476</v>
      </c>
      <c r="K823" s="185"/>
    </row>
    <row r="824" spans="1:11" ht="15.6">
      <c r="A824" s="430">
        <v>45904</v>
      </c>
      <c r="B824" s="179" t="s">
        <v>3453</v>
      </c>
      <c r="C824" s="127" t="s">
        <v>2089</v>
      </c>
      <c r="D824" s="76" t="s">
        <v>119</v>
      </c>
      <c r="E824" s="218">
        <v>10000</v>
      </c>
      <c r="F824" s="222"/>
      <c r="G824" s="225"/>
      <c r="H824" s="165">
        <f t="shared" si="16"/>
        <v>129550</v>
      </c>
      <c r="I824" s="76" t="s">
        <v>212</v>
      </c>
      <c r="J824" s="127" t="s">
        <v>3476</v>
      </c>
      <c r="K824" s="185"/>
    </row>
    <row r="825" spans="1:11" ht="15.6">
      <c r="A825" s="430">
        <v>45904</v>
      </c>
      <c r="B825" s="179" t="s">
        <v>3454</v>
      </c>
      <c r="C825" s="127" t="s">
        <v>2089</v>
      </c>
      <c r="D825" s="76" t="s">
        <v>119</v>
      </c>
      <c r="E825" s="218">
        <v>6000</v>
      </c>
      <c r="F825" s="222"/>
      <c r="G825" s="225"/>
      <c r="H825" s="165">
        <f t="shared" si="16"/>
        <v>135550</v>
      </c>
      <c r="I825" s="76" t="s">
        <v>212</v>
      </c>
      <c r="J825" s="127" t="s">
        <v>3477</v>
      </c>
      <c r="K825" s="185"/>
    </row>
    <row r="826" spans="1:11" ht="15.6">
      <c r="A826" s="430">
        <v>45904</v>
      </c>
      <c r="B826" s="179" t="s">
        <v>3455</v>
      </c>
      <c r="C826" s="127" t="s">
        <v>2089</v>
      </c>
      <c r="D826" s="76" t="s">
        <v>119</v>
      </c>
      <c r="E826" s="218">
        <v>6000</v>
      </c>
      <c r="F826" s="222"/>
      <c r="G826" s="225"/>
      <c r="H826" s="165">
        <f t="shared" si="16"/>
        <v>141550</v>
      </c>
      <c r="I826" s="76" t="s">
        <v>212</v>
      </c>
      <c r="J826" s="127" t="s">
        <v>3477</v>
      </c>
      <c r="K826" s="185"/>
    </row>
    <row r="827" spans="1:11" ht="15.6">
      <c r="A827" s="430">
        <v>45904</v>
      </c>
      <c r="B827" s="179" t="s">
        <v>3456</v>
      </c>
      <c r="C827" s="127" t="s">
        <v>2089</v>
      </c>
      <c r="D827" s="76" t="s">
        <v>119</v>
      </c>
      <c r="E827" s="218">
        <v>6000</v>
      </c>
      <c r="F827" s="222"/>
      <c r="G827" s="225"/>
      <c r="H827" s="165">
        <f t="shared" si="16"/>
        <v>147550</v>
      </c>
      <c r="I827" s="76" t="s">
        <v>212</v>
      </c>
      <c r="J827" s="127" t="s">
        <v>3477</v>
      </c>
      <c r="K827" s="185"/>
    </row>
    <row r="828" spans="1:11" ht="15.6">
      <c r="A828" s="430">
        <v>45904</v>
      </c>
      <c r="B828" s="179" t="s">
        <v>3457</v>
      </c>
      <c r="C828" s="127" t="s">
        <v>2089</v>
      </c>
      <c r="D828" s="76" t="s">
        <v>119</v>
      </c>
      <c r="E828" s="218">
        <v>6000</v>
      </c>
      <c r="F828" s="222"/>
      <c r="G828" s="225"/>
      <c r="H828" s="165">
        <f t="shared" si="16"/>
        <v>153550</v>
      </c>
      <c r="I828" s="76" t="s">
        <v>212</v>
      </c>
      <c r="J828" s="127" t="s">
        <v>3477</v>
      </c>
      <c r="K828" s="185"/>
    </row>
    <row r="829" spans="1:11" ht="15.6">
      <c r="A829" s="224">
        <v>45904</v>
      </c>
      <c r="B829" s="179" t="s">
        <v>3436</v>
      </c>
      <c r="C829" s="127" t="s">
        <v>2089</v>
      </c>
      <c r="D829" s="76" t="s">
        <v>119</v>
      </c>
      <c r="E829" s="222"/>
      <c r="F829" s="218">
        <v>6000</v>
      </c>
      <c r="G829" s="225"/>
      <c r="H829" s="165">
        <f t="shared" si="16"/>
        <v>147550</v>
      </c>
      <c r="I829" s="76" t="s">
        <v>212</v>
      </c>
      <c r="J829" s="127" t="s">
        <v>3475</v>
      </c>
      <c r="K829" s="185"/>
    </row>
    <row r="830" spans="1:11" ht="15.6">
      <c r="A830" s="430">
        <v>45904</v>
      </c>
      <c r="B830" s="179" t="s">
        <v>3437</v>
      </c>
      <c r="C830" s="127" t="s">
        <v>2089</v>
      </c>
      <c r="D830" s="76" t="s">
        <v>119</v>
      </c>
      <c r="E830" s="222"/>
      <c r="F830" s="218">
        <v>6000</v>
      </c>
      <c r="G830" s="225"/>
      <c r="H830" s="165">
        <f t="shared" si="16"/>
        <v>141550</v>
      </c>
      <c r="I830" s="76" t="s">
        <v>212</v>
      </c>
      <c r="J830" s="127" t="s">
        <v>3475</v>
      </c>
      <c r="K830" s="185"/>
    </row>
    <row r="831" spans="1:11" ht="15.6">
      <c r="A831" s="430">
        <v>45904</v>
      </c>
      <c r="B831" s="179" t="s">
        <v>3438</v>
      </c>
      <c r="C831" s="127" t="s">
        <v>2089</v>
      </c>
      <c r="D831" s="76" t="s">
        <v>119</v>
      </c>
      <c r="E831" s="222"/>
      <c r="F831" s="218">
        <v>6000</v>
      </c>
      <c r="G831" s="225"/>
      <c r="H831" s="165">
        <f t="shared" si="16"/>
        <v>135550</v>
      </c>
      <c r="I831" s="76" t="s">
        <v>212</v>
      </c>
      <c r="J831" s="127" t="s">
        <v>3475</v>
      </c>
      <c r="K831" s="185"/>
    </row>
    <row r="832" spans="1:11" ht="15.6">
      <c r="A832" s="430">
        <v>45904</v>
      </c>
      <c r="B832" s="179" t="s">
        <v>3439</v>
      </c>
      <c r="C832" s="127" t="s">
        <v>2089</v>
      </c>
      <c r="D832" s="76" t="s">
        <v>119</v>
      </c>
      <c r="E832" s="222"/>
      <c r="F832" s="218">
        <v>6000</v>
      </c>
      <c r="G832" s="225"/>
      <c r="H832" s="165">
        <f t="shared" si="16"/>
        <v>129550</v>
      </c>
      <c r="I832" s="76" t="s">
        <v>212</v>
      </c>
      <c r="J832" s="127" t="s">
        <v>3475</v>
      </c>
      <c r="K832" s="185"/>
    </row>
    <row r="833" spans="1:11" ht="15.6">
      <c r="A833" s="430">
        <v>45904</v>
      </c>
      <c r="B833" s="179" t="s">
        <v>3440</v>
      </c>
      <c r="C833" s="127" t="s">
        <v>2089</v>
      </c>
      <c r="D833" s="76" t="s">
        <v>119</v>
      </c>
      <c r="E833" s="222"/>
      <c r="F833" s="218">
        <v>6000</v>
      </c>
      <c r="G833" s="225"/>
      <c r="H833" s="165">
        <f t="shared" si="16"/>
        <v>123550</v>
      </c>
      <c r="I833" s="76" t="s">
        <v>212</v>
      </c>
      <c r="J833" s="127" t="s">
        <v>3475</v>
      </c>
      <c r="K833" s="185"/>
    </row>
    <row r="834" spans="1:11" ht="15.6">
      <c r="A834" s="430">
        <v>45904</v>
      </c>
      <c r="B834" s="179" t="s">
        <v>3441</v>
      </c>
      <c r="C834" s="127" t="s">
        <v>2089</v>
      </c>
      <c r="D834" s="76" t="s">
        <v>119</v>
      </c>
      <c r="E834" s="222"/>
      <c r="F834" s="218">
        <v>6000</v>
      </c>
      <c r="G834" s="225"/>
      <c r="H834" s="165">
        <f t="shared" si="16"/>
        <v>117550</v>
      </c>
      <c r="I834" s="76" t="s">
        <v>212</v>
      </c>
      <c r="J834" s="127" t="s">
        <v>3475</v>
      </c>
      <c r="K834" s="185"/>
    </row>
    <row r="835" spans="1:11" ht="15.6">
      <c r="A835" s="430">
        <v>45904</v>
      </c>
      <c r="B835" s="179" t="s">
        <v>3442</v>
      </c>
      <c r="C835" s="127" t="s">
        <v>2089</v>
      </c>
      <c r="D835" s="76" t="s">
        <v>119</v>
      </c>
      <c r="E835" s="222"/>
      <c r="F835" s="218">
        <v>6000</v>
      </c>
      <c r="G835" s="225"/>
      <c r="H835" s="165">
        <f t="shared" si="16"/>
        <v>111550</v>
      </c>
      <c r="I835" s="76" t="s">
        <v>212</v>
      </c>
      <c r="J835" s="127" t="s">
        <v>3475</v>
      </c>
      <c r="K835" s="185"/>
    </row>
    <row r="836" spans="1:11" ht="15.6">
      <c r="A836" s="430">
        <v>45904</v>
      </c>
      <c r="B836" s="179" t="s">
        <v>3443</v>
      </c>
      <c r="C836" s="127" t="s">
        <v>2089</v>
      </c>
      <c r="D836" s="76" t="s">
        <v>119</v>
      </c>
      <c r="E836" s="222"/>
      <c r="F836" s="218">
        <v>6000</v>
      </c>
      <c r="G836" s="225"/>
      <c r="H836" s="165">
        <f t="shared" si="16"/>
        <v>105550</v>
      </c>
      <c r="I836" s="76" t="s">
        <v>212</v>
      </c>
      <c r="J836" s="127" t="s">
        <v>3475</v>
      </c>
      <c r="K836" s="185"/>
    </row>
    <row r="837" spans="1:11" ht="15.6">
      <c r="A837" s="430">
        <v>45904</v>
      </c>
      <c r="B837" s="179" t="s">
        <v>3444</v>
      </c>
      <c r="C837" s="127" t="s">
        <v>2089</v>
      </c>
      <c r="D837" s="76" t="s">
        <v>119</v>
      </c>
      <c r="E837" s="222"/>
      <c r="F837" s="218">
        <v>6000</v>
      </c>
      <c r="G837" s="225"/>
      <c r="H837" s="165">
        <f t="shared" si="16"/>
        <v>99550</v>
      </c>
      <c r="I837" s="76" t="s">
        <v>212</v>
      </c>
      <c r="J837" s="127" t="s">
        <v>3475</v>
      </c>
      <c r="K837" s="185"/>
    </row>
    <row r="838" spans="1:11" ht="15.6">
      <c r="A838" s="430">
        <v>45904</v>
      </c>
      <c r="B838" s="179" t="s">
        <v>3445</v>
      </c>
      <c r="C838" s="127" t="s">
        <v>2089</v>
      </c>
      <c r="D838" s="76" t="s">
        <v>119</v>
      </c>
      <c r="E838" s="222"/>
      <c r="F838" s="218">
        <v>6000</v>
      </c>
      <c r="G838" s="225"/>
      <c r="H838" s="165">
        <f t="shared" si="16"/>
        <v>93550</v>
      </c>
      <c r="I838" s="76" t="s">
        <v>212</v>
      </c>
      <c r="J838" s="127" t="s">
        <v>3475</v>
      </c>
      <c r="K838" s="185"/>
    </row>
    <row r="839" spans="1:11" ht="15.6">
      <c r="A839" s="430">
        <v>45904</v>
      </c>
      <c r="B839" s="179" t="s">
        <v>3446</v>
      </c>
      <c r="C839" s="127" t="s">
        <v>2089</v>
      </c>
      <c r="D839" s="76" t="s">
        <v>119</v>
      </c>
      <c r="E839" s="222"/>
      <c r="F839" s="218">
        <v>6000</v>
      </c>
      <c r="G839" s="225"/>
      <c r="H839" s="165">
        <f t="shared" si="16"/>
        <v>87550</v>
      </c>
      <c r="I839" s="76" t="s">
        <v>212</v>
      </c>
      <c r="J839" s="127" t="s">
        <v>3475</v>
      </c>
      <c r="K839" s="185"/>
    </row>
    <row r="840" spans="1:11" ht="15.6">
      <c r="A840" s="430">
        <v>45904</v>
      </c>
      <c r="B840" s="179" t="s">
        <v>3447</v>
      </c>
      <c r="C840" s="127" t="s">
        <v>2089</v>
      </c>
      <c r="D840" s="76" t="s">
        <v>119</v>
      </c>
      <c r="E840" s="222"/>
      <c r="F840" s="218">
        <v>6000</v>
      </c>
      <c r="G840" s="225"/>
      <c r="H840" s="165">
        <f t="shared" si="16"/>
        <v>81550</v>
      </c>
      <c r="I840" s="76" t="s">
        <v>212</v>
      </c>
      <c r="J840" s="127" t="s">
        <v>3475</v>
      </c>
      <c r="K840" s="185"/>
    </row>
    <row r="841" spans="1:11" ht="15.6">
      <c r="A841" s="430">
        <v>45904</v>
      </c>
      <c r="B841" s="179" t="s">
        <v>3448</v>
      </c>
      <c r="C841" s="127" t="s">
        <v>2089</v>
      </c>
      <c r="D841" s="76" t="s">
        <v>119</v>
      </c>
      <c r="E841" s="222"/>
      <c r="F841" s="218">
        <v>6000</v>
      </c>
      <c r="G841" s="225"/>
      <c r="H841" s="165">
        <f t="shared" si="16"/>
        <v>75550</v>
      </c>
      <c r="I841" s="76" t="s">
        <v>212</v>
      </c>
      <c r="J841" s="127" t="s">
        <v>3475</v>
      </c>
      <c r="K841" s="185"/>
    </row>
    <row r="842" spans="1:11" ht="15.6">
      <c r="A842" s="430">
        <v>45904</v>
      </c>
      <c r="B842" s="179" t="s">
        <v>3449</v>
      </c>
      <c r="C842" s="127" t="s">
        <v>2089</v>
      </c>
      <c r="D842" s="76" t="s">
        <v>119</v>
      </c>
      <c r="E842" s="222"/>
      <c r="F842" s="218">
        <v>6000</v>
      </c>
      <c r="G842" s="225"/>
      <c r="H842" s="165">
        <f t="shared" si="16"/>
        <v>69550</v>
      </c>
      <c r="I842" s="76" t="s">
        <v>212</v>
      </c>
      <c r="J842" s="127" t="s">
        <v>3475</v>
      </c>
      <c r="K842" s="185"/>
    </row>
    <row r="843" spans="1:11" ht="15.6">
      <c r="A843" s="430">
        <v>45904</v>
      </c>
      <c r="B843" s="179" t="s">
        <v>3450</v>
      </c>
      <c r="C843" s="127" t="s">
        <v>2089</v>
      </c>
      <c r="D843" s="76" t="s">
        <v>119</v>
      </c>
      <c r="E843" s="222"/>
      <c r="F843" s="218">
        <v>10000</v>
      </c>
      <c r="G843" s="225"/>
      <c r="H843" s="165">
        <f t="shared" si="16"/>
        <v>59550</v>
      </c>
      <c r="I843" s="76" t="s">
        <v>212</v>
      </c>
      <c r="J843" s="127" t="s">
        <v>3476</v>
      </c>
      <c r="K843" s="185"/>
    </row>
    <row r="844" spans="1:11" ht="15.6">
      <c r="A844" s="430">
        <v>45904</v>
      </c>
      <c r="B844" s="179" t="s">
        <v>3451</v>
      </c>
      <c r="C844" s="127" t="s">
        <v>2089</v>
      </c>
      <c r="D844" s="76" t="s">
        <v>119</v>
      </c>
      <c r="E844" s="222"/>
      <c r="F844" s="218">
        <v>10000</v>
      </c>
      <c r="G844" s="225"/>
      <c r="H844" s="165">
        <f t="shared" si="16"/>
        <v>49550</v>
      </c>
      <c r="I844" s="76" t="s">
        <v>212</v>
      </c>
      <c r="J844" s="127" t="s">
        <v>3476</v>
      </c>
      <c r="K844" s="185"/>
    </row>
    <row r="845" spans="1:11" ht="15.6">
      <c r="A845" s="430">
        <v>45904</v>
      </c>
      <c r="B845" s="179" t="s">
        <v>3452</v>
      </c>
      <c r="C845" s="127" t="s">
        <v>2089</v>
      </c>
      <c r="D845" s="76" t="s">
        <v>119</v>
      </c>
      <c r="E845" s="222"/>
      <c r="F845" s="218">
        <v>10000</v>
      </c>
      <c r="G845" s="225"/>
      <c r="H845" s="165">
        <f t="shared" si="16"/>
        <v>39550</v>
      </c>
      <c r="I845" s="76" t="s">
        <v>212</v>
      </c>
      <c r="J845" s="127" t="s">
        <v>3476</v>
      </c>
      <c r="K845" s="185"/>
    </row>
    <row r="846" spans="1:11" ht="15.6">
      <c r="A846" s="430">
        <v>45904</v>
      </c>
      <c r="B846" s="179" t="s">
        <v>3453</v>
      </c>
      <c r="C846" s="127" t="s">
        <v>2089</v>
      </c>
      <c r="D846" s="76" t="s">
        <v>119</v>
      </c>
      <c r="E846" s="222"/>
      <c r="F846" s="218">
        <v>10000</v>
      </c>
      <c r="G846" s="225"/>
      <c r="H846" s="165">
        <f t="shared" si="16"/>
        <v>29550</v>
      </c>
      <c r="I846" s="76" t="s">
        <v>212</v>
      </c>
      <c r="J846" s="127" t="s">
        <v>3476</v>
      </c>
      <c r="K846" s="185"/>
    </row>
    <row r="847" spans="1:11" ht="15.6">
      <c r="A847" s="430">
        <v>45904</v>
      </c>
      <c r="B847" s="179" t="s">
        <v>3454</v>
      </c>
      <c r="C847" s="127" t="s">
        <v>2089</v>
      </c>
      <c r="D847" s="76" t="s">
        <v>119</v>
      </c>
      <c r="E847" s="222"/>
      <c r="F847" s="218">
        <v>6000</v>
      </c>
      <c r="G847" s="225"/>
      <c r="H847" s="165">
        <f t="shared" si="16"/>
        <v>23550</v>
      </c>
      <c r="I847" s="76" t="s">
        <v>212</v>
      </c>
      <c r="J847" s="127" t="s">
        <v>3477</v>
      </c>
      <c r="K847" s="185"/>
    </row>
    <row r="848" spans="1:11" ht="15.6">
      <c r="A848" s="430">
        <v>45904</v>
      </c>
      <c r="B848" s="179" t="s">
        <v>3455</v>
      </c>
      <c r="C848" s="127" t="s">
        <v>2089</v>
      </c>
      <c r="D848" s="76" t="s">
        <v>119</v>
      </c>
      <c r="E848" s="222"/>
      <c r="F848" s="218">
        <v>6000</v>
      </c>
      <c r="G848" s="225"/>
      <c r="H848" s="165">
        <f t="shared" si="16"/>
        <v>17550</v>
      </c>
      <c r="I848" s="76" t="s">
        <v>212</v>
      </c>
      <c r="J848" s="127" t="s">
        <v>3477</v>
      </c>
      <c r="K848" s="185"/>
    </row>
    <row r="849" spans="1:11" ht="15.6">
      <c r="A849" s="430">
        <v>45904</v>
      </c>
      <c r="B849" s="179" t="s">
        <v>3456</v>
      </c>
      <c r="C849" s="127" t="s">
        <v>2089</v>
      </c>
      <c r="D849" s="76" t="s">
        <v>119</v>
      </c>
      <c r="E849" s="218"/>
      <c r="F849" s="218">
        <v>6000</v>
      </c>
      <c r="G849" s="225"/>
      <c r="H849" s="165">
        <f t="shared" si="16"/>
        <v>11550</v>
      </c>
      <c r="I849" s="76" t="s">
        <v>212</v>
      </c>
      <c r="J849" s="127" t="s">
        <v>3477</v>
      </c>
      <c r="K849" s="185"/>
    </row>
    <row r="850" spans="1:11" ht="15.6">
      <c r="A850" s="430">
        <v>45904</v>
      </c>
      <c r="B850" s="179" t="s">
        <v>3457</v>
      </c>
      <c r="C850" s="127" t="s">
        <v>2089</v>
      </c>
      <c r="D850" s="76" t="s">
        <v>119</v>
      </c>
      <c r="E850" s="218"/>
      <c r="F850" s="218">
        <v>6000</v>
      </c>
      <c r="G850" s="225"/>
      <c r="H850" s="165">
        <f t="shared" si="16"/>
        <v>5550</v>
      </c>
      <c r="I850" s="76" t="s">
        <v>212</v>
      </c>
      <c r="J850" s="127" t="s">
        <v>3477</v>
      </c>
      <c r="K850" s="185"/>
    </row>
    <row r="851" spans="1:11" ht="15.6">
      <c r="A851" s="224">
        <v>45905</v>
      </c>
      <c r="B851" s="76" t="s">
        <v>3458</v>
      </c>
      <c r="C851" s="223" t="s">
        <v>173</v>
      </c>
      <c r="D851" s="76" t="s">
        <v>119</v>
      </c>
      <c r="E851" s="222"/>
      <c r="F851" s="222">
        <v>1000</v>
      </c>
      <c r="G851" s="225"/>
      <c r="H851" s="165">
        <f t="shared" si="16"/>
        <v>4550</v>
      </c>
      <c r="I851" s="76" t="s">
        <v>212</v>
      </c>
      <c r="J851" s="76" t="s">
        <v>3470</v>
      </c>
      <c r="K851" s="185"/>
    </row>
    <row r="852" spans="1:11" ht="15.6">
      <c r="A852" s="224">
        <v>45905</v>
      </c>
      <c r="B852" s="76" t="s">
        <v>3459</v>
      </c>
      <c r="C852" s="223" t="s">
        <v>173</v>
      </c>
      <c r="D852" s="76" t="s">
        <v>119</v>
      </c>
      <c r="E852" s="222"/>
      <c r="F852" s="222">
        <v>1000</v>
      </c>
      <c r="G852" s="225"/>
      <c r="H852" s="165">
        <f t="shared" si="16"/>
        <v>3550</v>
      </c>
      <c r="I852" s="76" t="s">
        <v>212</v>
      </c>
      <c r="J852" s="76" t="s">
        <v>3470</v>
      </c>
      <c r="K852" s="185"/>
    </row>
    <row r="853" spans="1:11" ht="15.6">
      <c r="A853" s="224">
        <v>45905</v>
      </c>
      <c r="B853" s="76" t="s">
        <v>3460</v>
      </c>
      <c r="C853" s="223" t="s">
        <v>173</v>
      </c>
      <c r="D853" s="76" t="s">
        <v>119</v>
      </c>
      <c r="E853" s="222"/>
      <c r="F853" s="222">
        <v>1000</v>
      </c>
      <c r="G853" s="225"/>
      <c r="H853" s="165">
        <f t="shared" si="16"/>
        <v>2550</v>
      </c>
      <c r="I853" s="76" t="s">
        <v>212</v>
      </c>
      <c r="J853" s="76" t="s">
        <v>3470</v>
      </c>
      <c r="K853" s="185"/>
    </row>
    <row r="854" spans="1:11" ht="15.6">
      <c r="A854" s="224">
        <v>45905</v>
      </c>
      <c r="B854" s="76" t="s">
        <v>3461</v>
      </c>
      <c r="C854" s="223" t="s">
        <v>173</v>
      </c>
      <c r="D854" s="76" t="s">
        <v>119</v>
      </c>
      <c r="E854" s="222"/>
      <c r="F854" s="222">
        <v>1000</v>
      </c>
      <c r="G854" s="225"/>
      <c r="H854" s="165">
        <f t="shared" si="16"/>
        <v>1550</v>
      </c>
      <c r="I854" s="76" t="s">
        <v>212</v>
      </c>
      <c r="J854" s="76" t="s">
        <v>3470</v>
      </c>
      <c r="K854" s="185"/>
    </row>
    <row r="855" spans="1:11" ht="15.6">
      <c r="A855" s="224">
        <v>45908</v>
      </c>
      <c r="B855" s="181" t="s">
        <v>3462</v>
      </c>
      <c r="C855" s="243" t="s">
        <v>151</v>
      </c>
      <c r="D855" s="223" t="s">
        <v>119</v>
      </c>
      <c r="E855" s="222">
        <v>5000</v>
      </c>
      <c r="F855" s="222"/>
      <c r="G855" s="225"/>
      <c r="H855" s="165">
        <f t="shared" si="16"/>
        <v>6550</v>
      </c>
      <c r="I855" s="76" t="s">
        <v>212</v>
      </c>
      <c r="J855" s="76" t="s">
        <v>3478</v>
      </c>
      <c r="K855" s="185"/>
    </row>
    <row r="856" spans="1:11" ht="15.6">
      <c r="A856" s="224">
        <v>45908</v>
      </c>
      <c r="B856" s="181" t="s">
        <v>3462</v>
      </c>
      <c r="C856" s="243" t="s">
        <v>151</v>
      </c>
      <c r="D856" s="223" t="s">
        <v>119</v>
      </c>
      <c r="E856" s="222">
        <v>5000</v>
      </c>
      <c r="F856" s="222"/>
      <c r="G856" s="222"/>
      <c r="H856" s="165">
        <f t="shared" si="16"/>
        <v>11550</v>
      </c>
      <c r="I856" s="76" t="s">
        <v>212</v>
      </c>
      <c r="J856" s="76" t="s">
        <v>3479</v>
      </c>
      <c r="K856" s="185"/>
    </row>
    <row r="857" spans="1:11" ht="15.6">
      <c r="A857" s="224">
        <v>45908</v>
      </c>
      <c r="B857" s="181" t="s">
        <v>3462</v>
      </c>
      <c r="C857" s="243" t="s">
        <v>151</v>
      </c>
      <c r="D857" s="223" t="s">
        <v>119</v>
      </c>
      <c r="E857" s="222"/>
      <c r="F857" s="222">
        <v>5000</v>
      </c>
      <c r="G857" s="222"/>
      <c r="H857" s="165">
        <f t="shared" si="16"/>
        <v>6550</v>
      </c>
      <c r="I857" s="76" t="s">
        <v>212</v>
      </c>
      <c r="J857" s="76" t="s">
        <v>3478</v>
      </c>
      <c r="K857" s="185"/>
    </row>
    <row r="858" spans="1:11" ht="15.6">
      <c r="A858" s="224">
        <v>45908</v>
      </c>
      <c r="B858" s="181" t="s">
        <v>3462</v>
      </c>
      <c r="C858" s="243" t="s">
        <v>151</v>
      </c>
      <c r="D858" s="223" t="s">
        <v>119</v>
      </c>
      <c r="E858" s="222"/>
      <c r="F858" s="222">
        <v>5000</v>
      </c>
      <c r="G858" s="222"/>
      <c r="H858" s="165">
        <f t="shared" si="16"/>
        <v>1550</v>
      </c>
      <c r="I858" s="76" t="s">
        <v>212</v>
      </c>
      <c r="J858" s="76" t="s">
        <v>3479</v>
      </c>
      <c r="K858" s="185"/>
    </row>
    <row r="859" spans="1:11" ht="15.6">
      <c r="A859" s="430">
        <v>45909</v>
      </c>
      <c r="B859" s="127" t="s">
        <v>3463</v>
      </c>
      <c r="C859" s="76" t="s">
        <v>264</v>
      </c>
      <c r="D859" s="76" t="s">
        <v>2414</v>
      </c>
      <c r="E859" s="218">
        <v>30000</v>
      </c>
      <c r="F859" s="222"/>
      <c r="G859" s="222"/>
      <c r="H859" s="165">
        <f t="shared" si="16"/>
        <v>31550</v>
      </c>
      <c r="I859" s="76" t="s">
        <v>212</v>
      </c>
      <c r="J859" s="433" t="s">
        <v>3480</v>
      </c>
      <c r="K859" s="185"/>
    </row>
    <row r="860" spans="1:11" ht="15.6">
      <c r="A860" s="430">
        <v>45909</v>
      </c>
      <c r="B860" s="127" t="s">
        <v>3463</v>
      </c>
      <c r="C860" s="76" t="s">
        <v>264</v>
      </c>
      <c r="D860" s="76" t="s">
        <v>2414</v>
      </c>
      <c r="E860" s="222"/>
      <c r="F860" s="218">
        <v>30000</v>
      </c>
      <c r="G860" s="222"/>
      <c r="H860" s="165">
        <f t="shared" si="16"/>
        <v>1550</v>
      </c>
      <c r="I860" s="76" t="s">
        <v>212</v>
      </c>
      <c r="J860" s="433" t="s">
        <v>3480</v>
      </c>
      <c r="K860" s="185"/>
    </row>
    <row r="861" spans="1:11" ht="15.6">
      <c r="A861" s="440">
        <v>45917</v>
      </c>
      <c r="B861" s="181" t="s">
        <v>3464</v>
      </c>
      <c r="C861" s="243" t="s">
        <v>151</v>
      </c>
      <c r="D861" s="181" t="s">
        <v>119</v>
      </c>
      <c r="E861" s="225">
        <v>10000</v>
      </c>
      <c r="F861" s="225"/>
      <c r="G861" s="222"/>
      <c r="H861" s="165">
        <f t="shared" si="16"/>
        <v>11550</v>
      </c>
      <c r="I861" s="127" t="s">
        <v>212</v>
      </c>
      <c r="J861" s="76" t="s">
        <v>3481</v>
      </c>
      <c r="K861" s="185"/>
    </row>
    <row r="862" spans="1:11" ht="15.6">
      <c r="A862" s="224">
        <v>45917</v>
      </c>
      <c r="B862" s="181" t="s">
        <v>3464</v>
      </c>
      <c r="C862" s="243" t="s">
        <v>151</v>
      </c>
      <c r="D862" s="223" t="s">
        <v>119</v>
      </c>
      <c r="E862" s="222"/>
      <c r="F862" s="222">
        <v>10000</v>
      </c>
      <c r="G862" s="222"/>
      <c r="H862" s="165">
        <f t="shared" si="16"/>
        <v>1550</v>
      </c>
      <c r="I862" s="76" t="s">
        <v>212</v>
      </c>
      <c r="J862" s="76" t="s">
        <v>3481</v>
      </c>
      <c r="K862" s="185"/>
    </row>
    <row r="863" spans="1:11" ht="15.6">
      <c r="A863" s="224">
        <v>45927</v>
      </c>
      <c r="B863" s="76" t="s">
        <v>2718</v>
      </c>
      <c r="C863" s="223" t="s">
        <v>173</v>
      </c>
      <c r="D863" s="76" t="s">
        <v>119</v>
      </c>
      <c r="E863" s="222"/>
      <c r="F863" s="222">
        <v>1000</v>
      </c>
      <c r="G863" s="222"/>
      <c r="H863" s="165">
        <f t="shared" ref="H863:H872" si="17">+H862+E863-F863</f>
        <v>550</v>
      </c>
      <c r="I863" s="76" t="s">
        <v>212</v>
      </c>
      <c r="J863" s="76" t="s">
        <v>3470</v>
      </c>
      <c r="K863" s="185"/>
    </row>
    <row r="864" spans="1:11" ht="15.6">
      <c r="A864" s="224">
        <v>45927</v>
      </c>
      <c r="B864" s="76" t="s">
        <v>2720</v>
      </c>
      <c r="C864" s="223" t="s">
        <v>173</v>
      </c>
      <c r="D864" s="76" t="s">
        <v>119</v>
      </c>
      <c r="E864" s="222"/>
      <c r="F864" s="222">
        <v>1000</v>
      </c>
      <c r="G864" s="222"/>
      <c r="H864" s="165">
        <f t="shared" si="17"/>
        <v>-450</v>
      </c>
      <c r="I864" s="76" t="s">
        <v>212</v>
      </c>
      <c r="J864" s="76" t="s">
        <v>3470</v>
      </c>
      <c r="K864" s="185"/>
    </row>
    <row r="865" spans="1:11" ht="15.6">
      <c r="A865" s="224">
        <v>45928</v>
      </c>
      <c r="B865" s="76" t="s">
        <v>2718</v>
      </c>
      <c r="C865" s="223" t="s">
        <v>173</v>
      </c>
      <c r="D865" s="76" t="s">
        <v>119</v>
      </c>
      <c r="E865" s="222"/>
      <c r="F865" s="222">
        <v>1000</v>
      </c>
      <c r="G865" s="222"/>
      <c r="H865" s="165">
        <f t="shared" si="17"/>
        <v>-1450</v>
      </c>
      <c r="I865" s="76" t="s">
        <v>212</v>
      </c>
      <c r="J865" s="76" t="s">
        <v>3470</v>
      </c>
      <c r="K865" s="185"/>
    </row>
    <row r="866" spans="1:11" ht="15.6">
      <c r="A866" s="224">
        <v>45928</v>
      </c>
      <c r="B866" s="76" t="s">
        <v>3431</v>
      </c>
      <c r="C866" s="223" t="s">
        <v>123</v>
      </c>
      <c r="D866" s="76" t="s">
        <v>119</v>
      </c>
      <c r="E866" s="222">
        <v>192000</v>
      </c>
      <c r="F866" s="222"/>
      <c r="G866" s="222"/>
      <c r="H866" s="165">
        <f t="shared" si="17"/>
        <v>190550</v>
      </c>
      <c r="I866" s="76" t="s">
        <v>212</v>
      </c>
      <c r="J866" s="76" t="s">
        <v>3482</v>
      </c>
      <c r="K866" s="185"/>
    </row>
    <row r="867" spans="1:11" ht="15.6">
      <c r="A867" s="224">
        <v>45928</v>
      </c>
      <c r="B867" s="76" t="s">
        <v>3621</v>
      </c>
      <c r="C867" s="223" t="s">
        <v>173</v>
      </c>
      <c r="D867" s="76" t="s">
        <v>119</v>
      </c>
      <c r="E867" s="222"/>
      <c r="F867" s="222">
        <v>9000</v>
      </c>
      <c r="G867" s="222"/>
      <c r="H867" s="165">
        <f t="shared" si="17"/>
        <v>181550</v>
      </c>
      <c r="I867" s="76" t="s">
        <v>212</v>
      </c>
      <c r="J867" s="76" t="s">
        <v>3483</v>
      </c>
      <c r="K867" s="185"/>
    </row>
    <row r="868" spans="1:11" ht="15.6">
      <c r="A868" s="224">
        <v>45928</v>
      </c>
      <c r="B868" s="76" t="s">
        <v>2720</v>
      </c>
      <c r="C868" s="223" t="s">
        <v>173</v>
      </c>
      <c r="D868" s="76" t="s">
        <v>119</v>
      </c>
      <c r="E868" s="222"/>
      <c r="F868" s="222">
        <v>1000</v>
      </c>
      <c r="G868" s="222"/>
      <c r="H868" s="165">
        <f t="shared" si="17"/>
        <v>180550</v>
      </c>
      <c r="I868" s="76" t="s">
        <v>212</v>
      </c>
      <c r="J868" s="76" t="s">
        <v>3470</v>
      </c>
      <c r="K868" s="185"/>
    </row>
    <row r="869" spans="1:11" ht="15.6">
      <c r="A869" s="224">
        <v>45929</v>
      </c>
      <c r="B869" s="76" t="s">
        <v>3466</v>
      </c>
      <c r="C869" s="223" t="s">
        <v>173</v>
      </c>
      <c r="D869" s="76" t="s">
        <v>119</v>
      </c>
      <c r="E869" s="222"/>
      <c r="F869" s="222">
        <v>1000</v>
      </c>
      <c r="G869" s="222"/>
      <c r="H869" s="165">
        <f t="shared" si="17"/>
        <v>179550</v>
      </c>
      <c r="I869" s="76" t="s">
        <v>212</v>
      </c>
      <c r="J869" s="76" t="s">
        <v>3470</v>
      </c>
      <c r="K869" s="185"/>
    </row>
    <row r="870" spans="1:11" ht="15.6">
      <c r="A870" s="224">
        <v>45929</v>
      </c>
      <c r="B870" s="181" t="s">
        <v>3467</v>
      </c>
      <c r="C870" s="243" t="s">
        <v>151</v>
      </c>
      <c r="D870" s="223" t="s">
        <v>119</v>
      </c>
      <c r="E870" s="222">
        <v>10000</v>
      </c>
      <c r="F870" s="222"/>
      <c r="G870" s="222"/>
      <c r="H870" s="165">
        <f t="shared" si="17"/>
        <v>189550</v>
      </c>
      <c r="I870" s="76" t="s">
        <v>212</v>
      </c>
      <c r="J870" s="76" t="s">
        <v>3484</v>
      </c>
      <c r="K870" s="185"/>
    </row>
    <row r="871" spans="1:11" ht="15.6">
      <c r="A871" s="224">
        <v>45929</v>
      </c>
      <c r="B871" s="181" t="s">
        <v>3467</v>
      </c>
      <c r="C871" s="243" t="s">
        <v>151</v>
      </c>
      <c r="D871" s="223" t="s">
        <v>119</v>
      </c>
      <c r="E871" s="222"/>
      <c r="F871" s="222">
        <v>10000</v>
      </c>
      <c r="G871" s="222"/>
      <c r="H871" s="165">
        <f t="shared" si="17"/>
        <v>179550</v>
      </c>
      <c r="I871" s="76" t="s">
        <v>212</v>
      </c>
      <c r="J871" s="76" t="s">
        <v>3484</v>
      </c>
      <c r="K871" s="185"/>
    </row>
    <row r="872" spans="1:11" ht="15.6">
      <c r="A872" s="224">
        <v>45929</v>
      </c>
      <c r="B872" s="76" t="s">
        <v>3631</v>
      </c>
      <c r="C872" s="223" t="s">
        <v>176</v>
      </c>
      <c r="D872" s="76" t="s">
        <v>119</v>
      </c>
      <c r="E872" s="222"/>
      <c r="F872" s="222">
        <v>60000</v>
      </c>
      <c r="G872" s="222"/>
      <c r="H872" s="165">
        <f t="shared" si="17"/>
        <v>119550</v>
      </c>
      <c r="I872" s="76" t="s">
        <v>212</v>
      </c>
      <c r="J872" s="76" t="s">
        <v>3485</v>
      </c>
      <c r="K872" s="185"/>
    </row>
    <row r="873" spans="1:11" ht="15.6">
      <c r="A873" s="135"/>
      <c r="B873" s="136"/>
      <c r="C873" s="136"/>
      <c r="D873" s="136"/>
      <c r="E873" s="138">
        <f>SUM(E790:E872)</f>
        <v>430000</v>
      </c>
      <c r="F873" s="138">
        <f>SUM(F790:F872)</f>
        <v>613500</v>
      </c>
      <c r="G873" s="138"/>
      <c r="H873" s="139">
        <f>+E873+H790-F873</f>
        <v>119550</v>
      </c>
      <c r="I873" s="136"/>
      <c r="J873" s="136"/>
      <c r="K873" s="136"/>
    </row>
    <row r="874" spans="1:11" ht="15.6">
      <c r="A874" s="135"/>
      <c r="B874" s="136"/>
      <c r="C874" s="136"/>
      <c r="D874" s="136"/>
      <c r="E874" s="138"/>
      <c r="F874" s="138"/>
      <c r="G874" s="138"/>
      <c r="H874" s="139"/>
      <c r="I874" s="136"/>
      <c r="J874" s="136"/>
      <c r="K874" s="136"/>
    </row>
    <row r="876" spans="1:11" ht="15.6">
      <c r="A876" s="180"/>
      <c r="B876" s="586" t="s">
        <v>1821</v>
      </c>
      <c r="C876" s="586"/>
      <c r="D876" s="586"/>
      <c r="E876" s="586"/>
      <c r="F876" s="189"/>
      <c r="G876" s="189"/>
      <c r="H876" s="208"/>
      <c r="I876" s="185"/>
      <c r="J876" s="185"/>
    </row>
    <row r="877" spans="1:11" ht="15.6">
      <c r="A877" s="187"/>
      <c r="B877" s="185"/>
      <c r="C877" s="185"/>
      <c r="D877" s="185"/>
      <c r="E877" s="189"/>
      <c r="F877" s="189"/>
      <c r="G877" s="189"/>
      <c r="H877" s="190"/>
      <c r="I877" s="185"/>
      <c r="J877" s="185"/>
    </row>
    <row r="878" spans="1:11" ht="15.6">
      <c r="A878" s="191" t="s">
        <v>0</v>
      </c>
      <c r="B878" s="192" t="s">
        <v>445</v>
      </c>
      <c r="C878" s="192" t="s">
        <v>446</v>
      </c>
      <c r="D878" s="192" t="s">
        <v>447</v>
      </c>
      <c r="E878" s="193" t="s">
        <v>448</v>
      </c>
      <c r="F878" s="314" t="s">
        <v>449</v>
      </c>
      <c r="G878" s="316"/>
      <c r="H878" s="315" t="s">
        <v>30</v>
      </c>
      <c r="I878" s="192" t="s">
        <v>450</v>
      </c>
      <c r="J878" s="192" t="s">
        <v>451</v>
      </c>
    </row>
    <row r="879" spans="1:11" ht="15.6">
      <c r="A879" s="146">
        <v>45901</v>
      </c>
      <c r="B879" s="179" t="s">
        <v>2878</v>
      </c>
      <c r="C879" s="179"/>
      <c r="D879" s="179"/>
      <c r="E879" s="182"/>
      <c r="F879" s="182"/>
      <c r="G879" s="249"/>
      <c r="H879" s="178">
        <v>5047</v>
      </c>
      <c r="I879" s="179" t="s">
        <v>186</v>
      </c>
      <c r="J879" s="179"/>
    </row>
    <row r="880" spans="1:11">
      <c r="A880" s="224">
        <v>45901</v>
      </c>
      <c r="B880" s="76" t="s">
        <v>3486</v>
      </c>
      <c r="C880" s="76" t="s">
        <v>151</v>
      </c>
      <c r="D880" s="76" t="s">
        <v>116</v>
      </c>
      <c r="E880" s="76">
        <v>7500</v>
      </c>
      <c r="F880" s="76"/>
      <c r="G880" s="76"/>
      <c r="H880" s="242">
        <f t="shared" ref="H880:H918" si="18">H879+E880-F880</f>
        <v>12547</v>
      </c>
      <c r="I880" s="76" t="s">
        <v>186</v>
      </c>
      <c r="J880" s="76" t="s">
        <v>3503</v>
      </c>
    </row>
    <row r="881" spans="1:10">
      <c r="A881" s="224">
        <v>45901</v>
      </c>
      <c r="B881" s="76" t="s">
        <v>3486</v>
      </c>
      <c r="C881" s="76" t="s">
        <v>151</v>
      </c>
      <c r="D881" s="76" t="s">
        <v>116</v>
      </c>
      <c r="E881" s="76"/>
      <c r="F881" s="76">
        <v>7500</v>
      </c>
      <c r="G881" s="76"/>
      <c r="H881" s="242">
        <f t="shared" si="18"/>
        <v>5047</v>
      </c>
      <c r="I881" s="76" t="s">
        <v>186</v>
      </c>
      <c r="J881" s="76" t="s">
        <v>3503</v>
      </c>
    </row>
    <row r="882" spans="1:10">
      <c r="A882" s="224">
        <v>45908</v>
      </c>
      <c r="B882" s="76" t="s">
        <v>2756</v>
      </c>
      <c r="C882" s="76" t="s">
        <v>173</v>
      </c>
      <c r="D882" s="76" t="s">
        <v>116</v>
      </c>
      <c r="E882" s="76"/>
      <c r="F882" s="76">
        <v>500</v>
      </c>
      <c r="G882" s="76"/>
      <c r="H882" s="242">
        <f t="shared" si="18"/>
        <v>4547</v>
      </c>
      <c r="I882" s="76" t="s">
        <v>186</v>
      </c>
      <c r="J882" s="76" t="s">
        <v>3504</v>
      </c>
    </row>
    <row r="883" spans="1:10">
      <c r="A883" s="224">
        <v>45908</v>
      </c>
      <c r="B883" s="76" t="s">
        <v>2757</v>
      </c>
      <c r="C883" s="76" t="s">
        <v>173</v>
      </c>
      <c r="D883" s="76" t="s">
        <v>116</v>
      </c>
      <c r="E883" s="76"/>
      <c r="F883" s="76">
        <v>500</v>
      </c>
      <c r="G883" s="76"/>
      <c r="H883" s="242">
        <f t="shared" si="18"/>
        <v>4047</v>
      </c>
      <c r="I883" s="76" t="s">
        <v>186</v>
      </c>
      <c r="J883" s="76" t="s">
        <v>3504</v>
      </c>
    </row>
    <row r="884" spans="1:10">
      <c r="A884" s="224">
        <v>45908</v>
      </c>
      <c r="B884" s="76" t="s">
        <v>3487</v>
      </c>
      <c r="C884" s="76" t="s">
        <v>151</v>
      </c>
      <c r="D884" s="76" t="s">
        <v>116</v>
      </c>
      <c r="E884" s="76">
        <v>7500</v>
      </c>
      <c r="F884" s="76"/>
      <c r="G884" s="76"/>
      <c r="H884" s="242">
        <f t="shared" si="18"/>
        <v>11547</v>
      </c>
      <c r="I884" s="76" t="s">
        <v>186</v>
      </c>
      <c r="J884" s="76" t="s">
        <v>3505</v>
      </c>
    </row>
    <row r="885" spans="1:10">
      <c r="A885" s="224">
        <v>45908</v>
      </c>
      <c r="B885" s="76" t="s">
        <v>3487</v>
      </c>
      <c r="C885" s="76" t="s">
        <v>151</v>
      </c>
      <c r="D885" s="76" t="s">
        <v>116</v>
      </c>
      <c r="E885" s="76"/>
      <c r="F885" s="76">
        <v>7500</v>
      </c>
      <c r="G885" s="76"/>
      <c r="H885" s="242">
        <f t="shared" si="18"/>
        <v>4047</v>
      </c>
      <c r="I885" s="76" t="s">
        <v>186</v>
      </c>
      <c r="J885" s="76" t="s">
        <v>3505</v>
      </c>
    </row>
    <row r="886" spans="1:10">
      <c r="A886" s="430">
        <v>45908</v>
      </c>
      <c r="B886" s="127" t="s">
        <v>3488</v>
      </c>
      <c r="C886" s="76" t="s">
        <v>181</v>
      </c>
      <c r="D886" s="76" t="s">
        <v>117</v>
      </c>
      <c r="E886" s="218">
        <v>2000</v>
      </c>
      <c r="F886" s="76"/>
      <c r="G886" s="76"/>
      <c r="H886" s="242">
        <f t="shared" si="18"/>
        <v>6047</v>
      </c>
      <c r="I886" s="76" t="s">
        <v>186</v>
      </c>
      <c r="J886" s="433" t="s">
        <v>3506</v>
      </c>
    </row>
    <row r="887" spans="1:10">
      <c r="A887" s="430">
        <v>45908</v>
      </c>
      <c r="B887" s="127" t="s">
        <v>3488</v>
      </c>
      <c r="C887" s="76" t="s">
        <v>181</v>
      </c>
      <c r="D887" s="76" t="s">
        <v>117</v>
      </c>
      <c r="E887" s="218"/>
      <c r="F887" s="218">
        <v>2000</v>
      </c>
      <c r="G887" s="76"/>
      <c r="H887" s="242">
        <f t="shared" si="18"/>
        <v>4047</v>
      </c>
      <c r="I887" s="76" t="s">
        <v>186</v>
      </c>
      <c r="J887" s="433" t="s">
        <v>3506</v>
      </c>
    </row>
    <row r="888" spans="1:10">
      <c r="A888" s="224">
        <v>45910</v>
      </c>
      <c r="B888" s="76" t="s">
        <v>3489</v>
      </c>
      <c r="C888" s="76" t="s">
        <v>173</v>
      </c>
      <c r="D888" s="76" t="s">
        <v>116</v>
      </c>
      <c r="E888" s="76"/>
      <c r="F888" s="76">
        <v>500</v>
      </c>
      <c r="G888" s="76"/>
      <c r="H888" s="242">
        <f t="shared" si="18"/>
        <v>3547</v>
      </c>
      <c r="I888" s="76" t="s">
        <v>186</v>
      </c>
      <c r="J888" s="76" t="s">
        <v>3504</v>
      </c>
    </row>
    <row r="889" spans="1:10">
      <c r="A889" s="224">
        <v>45910</v>
      </c>
      <c r="B889" s="76" t="s">
        <v>2757</v>
      </c>
      <c r="C889" s="76" t="s">
        <v>173</v>
      </c>
      <c r="D889" s="76" t="s">
        <v>116</v>
      </c>
      <c r="E889" s="76"/>
      <c r="F889" s="76">
        <v>500</v>
      </c>
      <c r="G889" s="76"/>
      <c r="H889" s="242">
        <f t="shared" si="18"/>
        <v>3047</v>
      </c>
      <c r="I889" s="76" t="s">
        <v>186</v>
      </c>
      <c r="J889" s="76" t="s">
        <v>3504</v>
      </c>
    </row>
    <row r="890" spans="1:10">
      <c r="A890" s="224">
        <v>45910</v>
      </c>
      <c r="B890" s="76" t="s">
        <v>3490</v>
      </c>
      <c r="C890" s="76" t="s">
        <v>173</v>
      </c>
      <c r="D890" s="76" t="s">
        <v>116</v>
      </c>
      <c r="E890" s="76"/>
      <c r="F890" s="76">
        <v>1000</v>
      </c>
      <c r="G890" s="76"/>
      <c r="H890" s="242">
        <f t="shared" si="18"/>
        <v>2047</v>
      </c>
      <c r="I890" s="76" t="s">
        <v>186</v>
      </c>
      <c r="J890" s="76" t="s">
        <v>3504</v>
      </c>
    </row>
    <row r="891" spans="1:10">
      <c r="A891" s="224">
        <v>45910</v>
      </c>
      <c r="B891" s="76" t="s">
        <v>3491</v>
      </c>
      <c r="C891" s="76" t="s">
        <v>173</v>
      </c>
      <c r="D891" s="76" t="s">
        <v>116</v>
      </c>
      <c r="E891" s="76"/>
      <c r="F891" s="76">
        <v>1000</v>
      </c>
      <c r="G891" s="76"/>
      <c r="H891" s="242">
        <f t="shared" si="18"/>
        <v>1047</v>
      </c>
      <c r="I891" s="76" t="s">
        <v>186</v>
      </c>
      <c r="J891" s="76" t="s">
        <v>3504</v>
      </c>
    </row>
    <row r="892" spans="1:10">
      <c r="A892" s="224">
        <v>45910</v>
      </c>
      <c r="B892" s="76" t="s">
        <v>3492</v>
      </c>
      <c r="C892" s="76" t="s">
        <v>173</v>
      </c>
      <c r="D892" s="76" t="s">
        <v>116</v>
      </c>
      <c r="E892" s="76"/>
      <c r="F892" s="76">
        <v>500</v>
      </c>
      <c r="G892" s="76"/>
      <c r="H892" s="242">
        <f t="shared" si="18"/>
        <v>547</v>
      </c>
      <c r="I892" s="76" t="s">
        <v>186</v>
      </c>
      <c r="J892" s="76" t="s">
        <v>3504</v>
      </c>
    </row>
    <row r="893" spans="1:10">
      <c r="A893" s="224">
        <v>45910</v>
      </c>
      <c r="B893" s="76" t="s">
        <v>2757</v>
      </c>
      <c r="C893" s="76" t="s">
        <v>173</v>
      </c>
      <c r="D893" s="76" t="s">
        <v>116</v>
      </c>
      <c r="E893" s="76"/>
      <c r="F893" s="76">
        <v>500</v>
      </c>
      <c r="G893" s="76"/>
      <c r="H893" s="242">
        <f t="shared" si="18"/>
        <v>47</v>
      </c>
      <c r="I893" s="76" t="s">
        <v>186</v>
      </c>
      <c r="J893" s="76" t="s">
        <v>3504</v>
      </c>
    </row>
    <row r="894" spans="1:10">
      <c r="A894" s="224">
        <v>45910</v>
      </c>
      <c r="B894" s="76" t="s">
        <v>3493</v>
      </c>
      <c r="C894" s="76" t="s">
        <v>987</v>
      </c>
      <c r="D894" s="76" t="s">
        <v>116</v>
      </c>
      <c r="E894" s="76">
        <v>20000</v>
      </c>
      <c r="F894" s="76"/>
      <c r="G894" s="76"/>
      <c r="H894" s="242">
        <f t="shared" si="18"/>
        <v>20047</v>
      </c>
      <c r="I894" s="76" t="s">
        <v>186</v>
      </c>
      <c r="J894" s="76" t="s">
        <v>3507</v>
      </c>
    </row>
    <row r="895" spans="1:10">
      <c r="A895" s="430">
        <v>45910</v>
      </c>
      <c r="B895" s="127" t="s">
        <v>3494</v>
      </c>
      <c r="C895" s="76" t="s">
        <v>181</v>
      </c>
      <c r="D895" s="76" t="s">
        <v>117</v>
      </c>
      <c r="E895" s="218">
        <v>7860</v>
      </c>
      <c r="F895" s="76"/>
      <c r="G895" s="76"/>
      <c r="H895" s="242">
        <f t="shared" si="18"/>
        <v>27907</v>
      </c>
      <c r="I895" s="76" t="s">
        <v>186</v>
      </c>
      <c r="J895" s="433" t="s">
        <v>3508</v>
      </c>
    </row>
    <row r="896" spans="1:10">
      <c r="A896" s="430">
        <v>45910</v>
      </c>
      <c r="B896" s="127" t="s">
        <v>3494</v>
      </c>
      <c r="C896" s="76" t="s">
        <v>181</v>
      </c>
      <c r="D896" s="76" t="s">
        <v>117</v>
      </c>
      <c r="E896" s="218"/>
      <c r="F896" s="218">
        <v>7860</v>
      </c>
      <c r="G896" s="76"/>
      <c r="H896" s="242">
        <f t="shared" si="18"/>
        <v>20047</v>
      </c>
      <c r="I896" s="76" t="s">
        <v>186</v>
      </c>
      <c r="J896" s="433" t="s">
        <v>3508</v>
      </c>
    </row>
    <row r="897" spans="1:10">
      <c r="A897" s="224">
        <v>45911</v>
      </c>
      <c r="B897" s="76" t="s">
        <v>3492</v>
      </c>
      <c r="C897" s="76" t="s">
        <v>173</v>
      </c>
      <c r="D897" s="76" t="s">
        <v>116</v>
      </c>
      <c r="E897" s="76"/>
      <c r="F897" s="76">
        <v>500</v>
      </c>
      <c r="G897" s="76"/>
      <c r="H897" s="242">
        <f t="shared" si="18"/>
        <v>19547</v>
      </c>
      <c r="I897" s="76" t="s">
        <v>186</v>
      </c>
      <c r="J897" s="76" t="s">
        <v>3504</v>
      </c>
    </row>
    <row r="898" spans="1:10">
      <c r="A898" s="224">
        <v>45911</v>
      </c>
      <c r="B898" s="76" t="s">
        <v>2757</v>
      </c>
      <c r="C898" s="76" t="s">
        <v>173</v>
      </c>
      <c r="D898" s="76" t="s">
        <v>116</v>
      </c>
      <c r="E898" s="76"/>
      <c r="F898" s="76">
        <v>500</v>
      </c>
      <c r="G898" s="76"/>
      <c r="H898" s="242">
        <f t="shared" si="18"/>
        <v>19047</v>
      </c>
      <c r="I898" s="76" t="s">
        <v>186</v>
      </c>
      <c r="J898" s="76" t="s">
        <v>3504</v>
      </c>
    </row>
    <row r="899" spans="1:10">
      <c r="A899" s="430">
        <v>45911</v>
      </c>
      <c r="B899" s="127" t="s">
        <v>2358</v>
      </c>
      <c r="C899" s="76" t="s">
        <v>181</v>
      </c>
      <c r="D899" s="76" t="s">
        <v>117</v>
      </c>
      <c r="E899" s="218">
        <v>7200</v>
      </c>
      <c r="F899" s="76"/>
      <c r="G899" s="76"/>
      <c r="H899" s="242">
        <f t="shared" si="18"/>
        <v>26247</v>
      </c>
      <c r="I899" s="76" t="s">
        <v>186</v>
      </c>
      <c r="J899" s="433" t="s">
        <v>3509</v>
      </c>
    </row>
    <row r="900" spans="1:10">
      <c r="A900" s="430">
        <v>45911</v>
      </c>
      <c r="B900" s="127" t="s">
        <v>2358</v>
      </c>
      <c r="C900" s="76" t="s">
        <v>181</v>
      </c>
      <c r="D900" s="76" t="s">
        <v>117</v>
      </c>
      <c r="E900" s="218"/>
      <c r="F900" s="218">
        <v>7200</v>
      </c>
      <c r="G900" s="76"/>
      <c r="H900" s="242">
        <f t="shared" si="18"/>
        <v>19047</v>
      </c>
      <c r="I900" s="76" t="s">
        <v>186</v>
      </c>
      <c r="J900" s="433" t="s">
        <v>3509</v>
      </c>
    </row>
    <row r="901" spans="1:10">
      <c r="A901" s="224">
        <v>45916</v>
      </c>
      <c r="B901" s="76" t="s">
        <v>3495</v>
      </c>
      <c r="C901" s="76" t="s">
        <v>173</v>
      </c>
      <c r="D901" s="76" t="s">
        <v>116</v>
      </c>
      <c r="E901" s="76"/>
      <c r="F901" s="76">
        <v>1500</v>
      </c>
      <c r="G901" s="76"/>
      <c r="H901" s="242">
        <f t="shared" si="18"/>
        <v>17547</v>
      </c>
      <c r="I901" s="76" t="s">
        <v>186</v>
      </c>
      <c r="J901" s="76" t="s">
        <v>3504</v>
      </c>
    </row>
    <row r="902" spans="1:10">
      <c r="A902" s="224">
        <v>45916</v>
      </c>
      <c r="B902" s="76" t="s">
        <v>3496</v>
      </c>
      <c r="C902" s="76" t="s">
        <v>173</v>
      </c>
      <c r="D902" s="76" t="s">
        <v>116</v>
      </c>
      <c r="E902" s="76"/>
      <c r="F902" s="76">
        <v>4000</v>
      </c>
      <c r="G902" s="76"/>
      <c r="H902" s="242">
        <f t="shared" si="18"/>
        <v>13547</v>
      </c>
      <c r="I902" s="76" t="s">
        <v>186</v>
      </c>
      <c r="J902" s="76" t="s">
        <v>3504</v>
      </c>
    </row>
    <row r="903" spans="1:10">
      <c r="A903" s="224">
        <v>45917</v>
      </c>
      <c r="B903" s="76" t="s">
        <v>3497</v>
      </c>
      <c r="C903" s="76" t="s">
        <v>151</v>
      </c>
      <c r="D903" s="76" t="s">
        <v>116</v>
      </c>
      <c r="E903" s="76">
        <v>7500</v>
      </c>
      <c r="F903" s="76"/>
      <c r="G903" s="76"/>
      <c r="H903" s="242">
        <f t="shared" si="18"/>
        <v>21047</v>
      </c>
      <c r="I903" s="76" t="s">
        <v>186</v>
      </c>
      <c r="J903" s="76" t="s">
        <v>3510</v>
      </c>
    </row>
    <row r="904" spans="1:10">
      <c r="A904" s="224">
        <v>45917</v>
      </c>
      <c r="B904" s="76" t="s">
        <v>3497</v>
      </c>
      <c r="C904" s="76" t="s">
        <v>151</v>
      </c>
      <c r="D904" s="76" t="s">
        <v>116</v>
      </c>
      <c r="E904" s="76"/>
      <c r="F904" s="76">
        <v>7500</v>
      </c>
      <c r="G904" s="76"/>
      <c r="H904" s="242">
        <f t="shared" si="18"/>
        <v>13547</v>
      </c>
      <c r="I904" s="76" t="s">
        <v>186</v>
      </c>
      <c r="J904" s="76" t="s">
        <v>3510</v>
      </c>
    </row>
    <row r="905" spans="1:10">
      <c r="A905" s="430">
        <v>45922</v>
      </c>
      <c r="B905" s="127" t="s">
        <v>584</v>
      </c>
      <c r="C905" s="76" t="s">
        <v>368</v>
      </c>
      <c r="D905" s="76" t="s">
        <v>120</v>
      </c>
      <c r="E905" s="218">
        <v>35000</v>
      </c>
      <c r="F905" s="76"/>
      <c r="G905" s="76"/>
      <c r="H905" s="242">
        <f t="shared" si="18"/>
        <v>48547</v>
      </c>
      <c r="I905" s="127" t="s">
        <v>186</v>
      </c>
      <c r="J905" s="433" t="s">
        <v>3511</v>
      </c>
    </row>
    <row r="906" spans="1:10">
      <c r="A906" s="430">
        <v>45922</v>
      </c>
      <c r="B906" s="127" t="s">
        <v>3498</v>
      </c>
      <c r="C906" s="76" t="s">
        <v>181</v>
      </c>
      <c r="D906" s="76" t="s">
        <v>117</v>
      </c>
      <c r="E906" s="441">
        <v>2278</v>
      </c>
      <c r="F906" s="76"/>
      <c r="G906" s="76"/>
      <c r="H906" s="242">
        <f t="shared" si="18"/>
        <v>50825</v>
      </c>
      <c r="I906" s="76" t="s">
        <v>186</v>
      </c>
      <c r="J906" s="433" t="s">
        <v>3512</v>
      </c>
    </row>
    <row r="907" spans="1:10">
      <c r="A907" s="430">
        <v>45922</v>
      </c>
      <c r="B907" s="127" t="s">
        <v>584</v>
      </c>
      <c r="C907" s="76" t="s">
        <v>368</v>
      </c>
      <c r="D907" s="76" t="s">
        <v>120</v>
      </c>
      <c r="E907" s="76"/>
      <c r="F907" s="218">
        <v>35000</v>
      </c>
      <c r="G907" s="76"/>
      <c r="H907" s="242">
        <f t="shared" si="18"/>
        <v>15825</v>
      </c>
      <c r="I907" s="127" t="s">
        <v>186</v>
      </c>
      <c r="J907" s="433" t="s">
        <v>3511</v>
      </c>
    </row>
    <row r="908" spans="1:10">
      <c r="A908" s="430">
        <v>45922</v>
      </c>
      <c r="B908" s="127" t="s">
        <v>3498</v>
      </c>
      <c r="C908" s="76" t="s">
        <v>181</v>
      </c>
      <c r="D908" s="76" t="s">
        <v>117</v>
      </c>
      <c r="E908" s="76"/>
      <c r="F908" s="441">
        <v>2278</v>
      </c>
      <c r="G908" s="76"/>
      <c r="H908" s="242">
        <f t="shared" si="18"/>
        <v>13547</v>
      </c>
      <c r="I908" s="76" t="s">
        <v>186</v>
      </c>
      <c r="J908" s="433" t="s">
        <v>3512</v>
      </c>
    </row>
    <row r="909" spans="1:10">
      <c r="A909" s="224">
        <v>45925</v>
      </c>
      <c r="B909" s="76" t="s">
        <v>3321</v>
      </c>
      <c r="C909" s="76" t="s">
        <v>173</v>
      </c>
      <c r="D909" s="76" t="s">
        <v>116</v>
      </c>
      <c r="E909" s="76"/>
      <c r="F909" s="76">
        <v>1000</v>
      </c>
      <c r="G909" s="76"/>
      <c r="H909" s="242">
        <f t="shared" si="18"/>
        <v>12547</v>
      </c>
      <c r="I909" s="76" t="s">
        <v>186</v>
      </c>
      <c r="J909" s="76" t="s">
        <v>3504</v>
      </c>
    </row>
    <row r="910" spans="1:10">
      <c r="A910" s="224">
        <v>45925</v>
      </c>
      <c r="B910" s="76" t="s">
        <v>3310</v>
      </c>
      <c r="C910" s="76" t="s">
        <v>173</v>
      </c>
      <c r="D910" s="76" t="s">
        <v>116</v>
      </c>
      <c r="E910" s="76"/>
      <c r="F910" s="76">
        <v>1000</v>
      </c>
      <c r="G910" s="76"/>
      <c r="H910" s="242">
        <f t="shared" si="18"/>
        <v>11547</v>
      </c>
      <c r="I910" s="76" t="s">
        <v>186</v>
      </c>
      <c r="J910" s="76" t="s">
        <v>3504</v>
      </c>
    </row>
    <row r="911" spans="1:10">
      <c r="A911" s="224">
        <v>45926</v>
      </c>
      <c r="B911" s="76" t="s">
        <v>3495</v>
      </c>
      <c r="C911" s="76" t="s">
        <v>173</v>
      </c>
      <c r="D911" s="76" t="s">
        <v>116</v>
      </c>
      <c r="E911" s="76"/>
      <c r="F911" s="76">
        <v>1500</v>
      </c>
      <c r="G911" s="76"/>
      <c r="H911" s="242">
        <f t="shared" si="18"/>
        <v>10047</v>
      </c>
      <c r="I911" s="76" t="s">
        <v>186</v>
      </c>
      <c r="J911" s="76" t="s">
        <v>3504</v>
      </c>
    </row>
    <row r="912" spans="1:10">
      <c r="A912" s="224">
        <v>45926</v>
      </c>
      <c r="B912" s="76" t="s">
        <v>3499</v>
      </c>
      <c r="C912" s="76" t="s">
        <v>173</v>
      </c>
      <c r="D912" s="76" t="s">
        <v>116</v>
      </c>
      <c r="E912" s="76"/>
      <c r="F912" s="76">
        <v>3500</v>
      </c>
      <c r="G912" s="76"/>
      <c r="H912" s="242">
        <f t="shared" si="18"/>
        <v>6547</v>
      </c>
      <c r="I912" s="76" t="s">
        <v>186</v>
      </c>
      <c r="J912" s="76" t="s">
        <v>3504</v>
      </c>
    </row>
    <row r="913" spans="1:10">
      <c r="A913" s="224">
        <v>45929</v>
      </c>
      <c r="B913" s="76" t="s">
        <v>3500</v>
      </c>
      <c r="C913" s="76" t="s">
        <v>173</v>
      </c>
      <c r="D913" s="76" t="s">
        <v>116</v>
      </c>
      <c r="E913" s="76"/>
      <c r="F913" s="76">
        <v>1500</v>
      </c>
      <c r="G913" s="76"/>
      <c r="H913" s="242">
        <f t="shared" si="18"/>
        <v>5047</v>
      </c>
      <c r="I913" s="76" t="s">
        <v>186</v>
      </c>
      <c r="J913" s="76" t="s">
        <v>3504</v>
      </c>
    </row>
    <row r="914" spans="1:10">
      <c r="A914" s="224">
        <v>45929</v>
      </c>
      <c r="B914" s="76" t="s">
        <v>3501</v>
      </c>
      <c r="C914" s="76" t="s">
        <v>173</v>
      </c>
      <c r="D914" s="76" t="s">
        <v>116</v>
      </c>
      <c r="E914" s="76"/>
      <c r="F914" s="76">
        <v>1500</v>
      </c>
      <c r="G914" s="76"/>
      <c r="H914" s="242">
        <f t="shared" si="18"/>
        <v>3547</v>
      </c>
      <c r="I914" s="76" t="s">
        <v>186</v>
      </c>
      <c r="J914" s="76" t="s">
        <v>3504</v>
      </c>
    </row>
    <row r="915" spans="1:10">
      <c r="A915" s="430">
        <v>45929</v>
      </c>
      <c r="B915" s="76" t="s">
        <v>3315</v>
      </c>
      <c r="C915" s="76" t="s">
        <v>171</v>
      </c>
      <c r="D915" s="76" t="s">
        <v>117</v>
      </c>
      <c r="E915" s="218">
        <v>15625</v>
      </c>
      <c r="F915" s="76"/>
      <c r="G915" s="76"/>
      <c r="H915" s="242">
        <f t="shared" si="18"/>
        <v>19172</v>
      </c>
      <c r="I915" s="127" t="s">
        <v>186</v>
      </c>
      <c r="J915" s="433" t="s">
        <v>3513</v>
      </c>
    </row>
    <row r="916" spans="1:10">
      <c r="A916" s="430">
        <v>45929</v>
      </c>
      <c r="B916" s="76" t="s">
        <v>3315</v>
      </c>
      <c r="C916" s="76" t="s">
        <v>171</v>
      </c>
      <c r="D916" s="76" t="s">
        <v>117</v>
      </c>
      <c r="E916" s="218"/>
      <c r="F916" s="218">
        <v>15625</v>
      </c>
      <c r="G916" s="76"/>
      <c r="H916" s="242">
        <f t="shared" si="18"/>
        <v>3547</v>
      </c>
      <c r="I916" s="127" t="s">
        <v>186</v>
      </c>
      <c r="J916" s="433" t="s">
        <v>3513</v>
      </c>
    </row>
    <row r="917" spans="1:10">
      <c r="A917" s="224">
        <v>45929</v>
      </c>
      <c r="B917" s="76" t="s">
        <v>3502</v>
      </c>
      <c r="C917" s="76" t="s">
        <v>151</v>
      </c>
      <c r="D917" s="76" t="s">
        <v>116</v>
      </c>
      <c r="E917" s="76">
        <v>7500</v>
      </c>
      <c r="F917" s="76"/>
      <c r="G917" s="76"/>
      <c r="H917" s="242">
        <f t="shared" si="18"/>
        <v>11047</v>
      </c>
      <c r="I917" s="76" t="s">
        <v>186</v>
      </c>
      <c r="J917" s="76" t="s">
        <v>3514</v>
      </c>
    </row>
    <row r="918" spans="1:10">
      <c r="A918" s="224">
        <v>45929</v>
      </c>
      <c r="B918" s="76" t="s">
        <v>3502</v>
      </c>
      <c r="C918" s="76" t="s">
        <v>151</v>
      </c>
      <c r="D918" s="76" t="s">
        <v>116</v>
      </c>
      <c r="E918" s="76"/>
      <c r="F918" s="76">
        <v>7500</v>
      </c>
      <c r="G918" s="76"/>
      <c r="H918" s="242">
        <f t="shared" si="18"/>
        <v>3547</v>
      </c>
      <c r="I918" s="76" t="s">
        <v>186</v>
      </c>
      <c r="J918" s="76" t="s">
        <v>3514</v>
      </c>
    </row>
    <row r="919" spans="1:10">
      <c r="E919" s="71">
        <f>SUM(E879:E918)</f>
        <v>119963</v>
      </c>
      <c r="F919" s="71">
        <f>SUM(F879:F918)</f>
        <v>121463</v>
      </c>
      <c r="H919" s="71">
        <f>+E919-F919+H879</f>
        <v>3547</v>
      </c>
    </row>
  </sheetData>
  <mergeCells count="3">
    <mergeCell ref="A137:D137"/>
    <mergeCell ref="B679:E679"/>
    <mergeCell ref="B876:E876"/>
  </mergeCells>
  <phoneticPr fontId="29" type="noConversion"/>
  <dataValidations count="1">
    <dataValidation type="list" allowBlank="1" showInputMessage="1" showErrorMessage="1" sqref="C723 C880:C918"/>
  </dataValidations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B2:C16"/>
  <sheetViews>
    <sheetView zoomScaleNormal="100" workbookViewId="0">
      <selection activeCell="I29" sqref="I29"/>
    </sheetView>
  </sheetViews>
  <sheetFormatPr baseColWidth="10" defaultColWidth="8.69921875" defaultRowHeight="13.8"/>
  <cols>
    <col min="1" max="1" width="5.69921875" customWidth="1"/>
    <col min="2" max="2" width="20.3984375" bestFit="1" customWidth="1"/>
    <col min="3" max="3" width="22.8984375" bestFit="1" customWidth="1"/>
    <col min="4" max="38" width="5.69921875" customWidth="1"/>
    <col min="39" max="63" width="6.69921875" customWidth="1"/>
    <col min="64" max="64" width="7.69921875" customWidth="1"/>
    <col min="65" max="65" width="5.3984375" customWidth="1"/>
    <col min="66" max="66" width="11.69921875" bestFit="1" customWidth="1"/>
  </cols>
  <sheetData>
    <row r="2" spans="2:3">
      <c r="B2" s="170" t="s">
        <v>462</v>
      </c>
      <c r="C2" t="s">
        <v>464</v>
      </c>
    </row>
    <row r="3" spans="2:3">
      <c r="B3" s="147" t="s">
        <v>189</v>
      </c>
      <c r="C3" s="319">
        <v>128590</v>
      </c>
    </row>
    <row r="4" spans="2:3">
      <c r="B4" s="147" t="s">
        <v>147</v>
      </c>
      <c r="C4" s="319">
        <v>1935000</v>
      </c>
    </row>
    <row r="5" spans="2:3">
      <c r="B5" s="147" t="s">
        <v>437</v>
      </c>
      <c r="C5" s="319">
        <v>725000</v>
      </c>
    </row>
    <row r="6" spans="2:3">
      <c r="B6" s="147" t="s">
        <v>152</v>
      </c>
      <c r="C6" s="319">
        <v>322625</v>
      </c>
    </row>
    <row r="7" spans="2:3">
      <c r="B7" s="147" t="s">
        <v>212</v>
      </c>
      <c r="C7" s="319">
        <v>613500</v>
      </c>
    </row>
    <row r="8" spans="2:3">
      <c r="B8" s="147" t="s">
        <v>583</v>
      </c>
      <c r="C8" s="319">
        <v>556484</v>
      </c>
    </row>
    <row r="9" spans="2:3">
      <c r="B9" s="147" t="s">
        <v>192</v>
      </c>
      <c r="C9" s="319">
        <v>352020</v>
      </c>
    </row>
    <row r="10" spans="2:3">
      <c r="B10" s="147" t="s">
        <v>186</v>
      </c>
      <c r="C10" s="319">
        <v>121463</v>
      </c>
    </row>
    <row r="11" spans="2:3">
      <c r="B11" s="147" t="s">
        <v>183</v>
      </c>
      <c r="C11" s="319">
        <v>902100</v>
      </c>
    </row>
    <row r="12" spans="2:3">
      <c r="B12" s="147" t="s">
        <v>174</v>
      </c>
      <c r="C12" s="319">
        <v>586000</v>
      </c>
    </row>
    <row r="13" spans="2:3">
      <c r="B13" s="147" t="s">
        <v>316</v>
      </c>
      <c r="C13" s="319">
        <v>274800</v>
      </c>
    </row>
    <row r="14" spans="2:3">
      <c r="B14" s="147" t="s">
        <v>322</v>
      </c>
      <c r="C14" s="319">
        <v>62000</v>
      </c>
    </row>
    <row r="15" spans="2:3">
      <c r="B15" s="147" t="s">
        <v>1508</v>
      </c>
      <c r="C15" s="319">
        <v>728400</v>
      </c>
    </row>
    <row r="16" spans="2:3">
      <c r="B16" s="147" t="s">
        <v>463</v>
      </c>
      <c r="C16" s="319">
        <v>7307982</v>
      </c>
    </row>
  </sheetData>
  <pageMargins left="0.7" right="0.7" top="0.78740157499999996" bottom="0.78740157499999996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B2:D19"/>
  <sheetViews>
    <sheetView zoomScaleNormal="100" workbookViewId="0">
      <selection activeCell="B9" sqref="B9"/>
    </sheetView>
  </sheetViews>
  <sheetFormatPr baseColWidth="10" defaultColWidth="11.3984375" defaultRowHeight="13.8"/>
  <cols>
    <col min="2" max="2" width="19.59765625" bestFit="1" customWidth="1"/>
    <col min="3" max="3" width="15.8984375" bestFit="1" customWidth="1"/>
    <col min="4" max="4" width="18.296875" bestFit="1" customWidth="1"/>
  </cols>
  <sheetData>
    <row r="2" spans="2:4">
      <c r="B2" s="170" t="s">
        <v>462</v>
      </c>
      <c r="C2" t="s">
        <v>465</v>
      </c>
      <c r="D2" t="s">
        <v>466</v>
      </c>
    </row>
    <row r="3" spans="2:4">
      <c r="B3" s="147" t="s">
        <v>189</v>
      </c>
      <c r="C3" s="319">
        <v>82590</v>
      </c>
      <c r="D3" s="319"/>
    </row>
    <row r="4" spans="2:4">
      <c r="B4" s="147" t="s">
        <v>147</v>
      </c>
      <c r="C4" s="319"/>
      <c r="D4" s="319">
        <v>5700000</v>
      </c>
    </row>
    <row r="5" spans="2:4">
      <c r="B5" s="147" t="s">
        <v>196</v>
      </c>
      <c r="C5" s="319">
        <v>477000</v>
      </c>
      <c r="D5" s="319"/>
    </row>
    <row r="6" spans="2:4">
      <c r="B6" s="147" t="s">
        <v>152</v>
      </c>
      <c r="C6" s="319">
        <v>195000</v>
      </c>
      <c r="D6" s="319">
        <v>190000</v>
      </c>
    </row>
    <row r="7" spans="2:4">
      <c r="B7" s="147" t="s">
        <v>212</v>
      </c>
      <c r="C7" s="319">
        <v>390000</v>
      </c>
      <c r="D7" s="319"/>
    </row>
    <row r="8" spans="2:4">
      <c r="B8" s="147" t="s">
        <v>322</v>
      </c>
      <c r="C8" s="319">
        <v>30000</v>
      </c>
      <c r="D8" s="319"/>
    </row>
    <row r="9" spans="2:4">
      <c r="B9" s="147" t="s">
        <v>316</v>
      </c>
      <c r="C9" s="319">
        <v>235000</v>
      </c>
      <c r="D9" s="319"/>
    </row>
    <row r="10" spans="2:4">
      <c r="B10" s="147" t="s">
        <v>183</v>
      </c>
      <c r="C10" s="319">
        <v>921000</v>
      </c>
      <c r="D10" s="319">
        <v>30000</v>
      </c>
    </row>
    <row r="11" spans="2:4">
      <c r="B11" s="147" t="s">
        <v>583</v>
      </c>
      <c r="C11" s="319">
        <v>528984</v>
      </c>
      <c r="D11" s="319"/>
    </row>
    <row r="12" spans="2:4">
      <c r="B12" s="147" t="s">
        <v>1899</v>
      </c>
      <c r="C12" s="319">
        <v>450000</v>
      </c>
      <c r="D12" s="319"/>
    </row>
    <row r="13" spans="2:4">
      <c r="B13" s="147" t="s">
        <v>192</v>
      </c>
      <c r="C13" s="319">
        <v>256520</v>
      </c>
      <c r="D13" s="319"/>
    </row>
    <row r="14" spans="2:4">
      <c r="B14" s="147" t="s">
        <v>186</v>
      </c>
      <c r="C14" s="319">
        <v>89963</v>
      </c>
      <c r="D14" s="319"/>
    </row>
    <row r="15" spans="2:4">
      <c r="B15" s="147" t="s">
        <v>174</v>
      </c>
      <c r="C15" s="319">
        <v>869000</v>
      </c>
      <c r="D15" s="319">
        <v>50000</v>
      </c>
    </row>
    <row r="16" spans="2:4">
      <c r="B16" s="147" t="s">
        <v>1894</v>
      </c>
      <c r="C16" s="319"/>
      <c r="D16" s="319"/>
    </row>
    <row r="17" spans="2:4">
      <c r="B17" s="147" t="s">
        <v>1508</v>
      </c>
      <c r="C17" s="319">
        <v>835000</v>
      </c>
      <c r="D17" s="319"/>
    </row>
    <row r="18" spans="2:4">
      <c r="B18" s="147" t="s">
        <v>2099</v>
      </c>
      <c r="C18" s="319">
        <v>1200558</v>
      </c>
      <c r="D18" s="319">
        <v>1200558</v>
      </c>
    </row>
    <row r="19" spans="2:4">
      <c r="B19" s="147" t="s">
        <v>463</v>
      </c>
      <c r="C19" s="319">
        <v>6560615</v>
      </c>
      <c r="D19" s="319">
        <v>7170558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B2:S11"/>
  <sheetViews>
    <sheetView workbookViewId="0">
      <selection activeCell="I5" sqref="I5"/>
    </sheetView>
  </sheetViews>
  <sheetFormatPr baseColWidth="10" defaultColWidth="8.69921875" defaultRowHeight="13.8"/>
  <cols>
    <col min="1" max="1" width="13.09765625" bestFit="1" customWidth="1"/>
    <col min="2" max="2" width="22.8984375" bestFit="1" customWidth="1"/>
    <col min="3" max="3" width="23.19921875" bestFit="1" customWidth="1"/>
    <col min="4" max="4" width="5.69921875" bestFit="1" customWidth="1"/>
    <col min="5" max="5" width="7.69921875" bestFit="1" customWidth="1"/>
    <col min="6" max="6" width="12.19921875" bestFit="1" customWidth="1"/>
    <col min="7" max="7" width="14.59765625" bestFit="1" customWidth="1"/>
    <col min="8" max="8" width="9.796875" bestFit="1" customWidth="1"/>
    <col min="9" max="9" width="13.8984375" bestFit="1" customWidth="1"/>
    <col min="10" max="10" width="8.59765625" bestFit="1" customWidth="1"/>
    <col min="11" max="11" width="10.19921875" bestFit="1" customWidth="1"/>
    <col min="12" max="12" width="13.09765625" bestFit="1" customWidth="1"/>
    <col min="13" max="13" width="9.296875" bestFit="1" customWidth="1"/>
    <col min="14" max="14" width="9.796875" bestFit="1" customWidth="1"/>
    <col min="15" max="15" width="17.59765625" bestFit="1" customWidth="1"/>
    <col min="16" max="16" width="12.8984375" bestFit="1" customWidth="1"/>
    <col min="17" max="17" width="20.8984375" bestFit="1" customWidth="1"/>
    <col min="18" max="18" width="6.5" bestFit="1" customWidth="1"/>
    <col min="19" max="20" width="12.09765625" bestFit="1" customWidth="1"/>
    <col min="21" max="21" width="10.3984375" bestFit="1" customWidth="1"/>
    <col min="22" max="22" width="12.09765625" bestFit="1" customWidth="1"/>
    <col min="23" max="23" width="11.796875" bestFit="1" customWidth="1"/>
  </cols>
  <sheetData>
    <row r="2" spans="2:19">
      <c r="B2" s="170" t="s">
        <v>464</v>
      </c>
      <c r="C2" s="170" t="s">
        <v>1896</v>
      </c>
    </row>
    <row r="3" spans="2:19">
      <c r="B3" s="170" t="s">
        <v>462</v>
      </c>
      <c r="C3" t="s">
        <v>2089</v>
      </c>
      <c r="D3" t="s">
        <v>124</v>
      </c>
      <c r="E3" t="s">
        <v>626</v>
      </c>
      <c r="F3" t="s">
        <v>122</v>
      </c>
      <c r="G3" t="s">
        <v>171</v>
      </c>
      <c r="H3" t="s">
        <v>126</v>
      </c>
      <c r="I3" t="s">
        <v>125</v>
      </c>
      <c r="J3" t="s">
        <v>303</v>
      </c>
      <c r="K3" t="s">
        <v>151</v>
      </c>
      <c r="L3" t="s">
        <v>181</v>
      </c>
      <c r="M3" t="s">
        <v>173</v>
      </c>
      <c r="N3" t="s">
        <v>195</v>
      </c>
      <c r="O3" t="s">
        <v>2391</v>
      </c>
      <c r="P3" t="s">
        <v>368</v>
      </c>
      <c r="Q3" t="s">
        <v>307</v>
      </c>
      <c r="R3" t="s">
        <v>264</v>
      </c>
      <c r="S3" t="s">
        <v>463</v>
      </c>
    </row>
    <row r="4" spans="2:19">
      <c r="B4" s="147" t="s">
        <v>120</v>
      </c>
      <c r="C4" s="319"/>
      <c r="D4" s="319"/>
      <c r="E4" s="319"/>
      <c r="F4" s="319"/>
      <c r="G4" s="319"/>
      <c r="H4" s="319">
        <v>825000</v>
      </c>
      <c r="I4" s="319"/>
      <c r="J4" s="319"/>
      <c r="K4" s="319">
        <v>160000</v>
      </c>
      <c r="L4" s="319"/>
      <c r="M4" s="319">
        <v>385400</v>
      </c>
      <c r="N4" s="319"/>
      <c r="O4" s="319">
        <v>1190000</v>
      </c>
      <c r="P4" s="319">
        <v>114500</v>
      </c>
      <c r="Q4" s="319">
        <v>10000</v>
      </c>
      <c r="R4" s="319"/>
      <c r="S4" s="319">
        <v>2684900</v>
      </c>
    </row>
    <row r="5" spans="2:19">
      <c r="B5" s="147" t="s">
        <v>116</v>
      </c>
      <c r="C5" s="319"/>
      <c r="D5" s="319"/>
      <c r="E5" s="319"/>
      <c r="F5" s="319">
        <v>463500</v>
      </c>
      <c r="G5" s="319"/>
      <c r="H5" s="319"/>
      <c r="I5" s="319"/>
      <c r="J5" s="319"/>
      <c r="K5" s="319">
        <v>170000</v>
      </c>
      <c r="L5" s="319"/>
      <c r="M5" s="319">
        <v>226500</v>
      </c>
      <c r="N5" s="319">
        <v>70000</v>
      </c>
      <c r="O5" s="319">
        <v>1476900</v>
      </c>
      <c r="P5" s="319"/>
      <c r="Q5" s="319"/>
      <c r="R5" s="319"/>
      <c r="S5" s="319">
        <v>2406900</v>
      </c>
    </row>
    <row r="6" spans="2:19">
      <c r="B6" s="147" t="s">
        <v>118</v>
      </c>
      <c r="C6" s="319"/>
      <c r="D6" s="319"/>
      <c r="E6" s="319"/>
      <c r="F6" s="319"/>
      <c r="G6" s="319"/>
      <c r="H6" s="319">
        <v>174625</v>
      </c>
      <c r="I6" s="319"/>
      <c r="J6" s="319"/>
      <c r="K6" s="319">
        <v>80000</v>
      </c>
      <c r="L6" s="319"/>
      <c r="M6" s="319">
        <v>68000</v>
      </c>
      <c r="N6" s="319"/>
      <c r="O6" s="319">
        <v>30000</v>
      </c>
      <c r="P6" s="319"/>
      <c r="Q6" s="319"/>
      <c r="R6" s="319"/>
      <c r="S6" s="319">
        <v>352625</v>
      </c>
    </row>
    <row r="7" spans="2:19">
      <c r="B7" s="147" t="s">
        <v>119</v>
      </c>
      <c r="C7" s="319">
        <v>148000</v>
      </c>
      <c r="D7" s="319"/>
      <c r="E7" s="319"/>
      <c r="F7" s="319"/>
      <c r="G7" s="319"/>
      <c r="H7" s="319"/>
      <c r="I7" s="319"/>
      <c r="J7" s="319"/>
      <c r="K7" s="319">
        <v>40000</v>
      </c>
      <c r="L7" s="319"/>
      <c r="M7" s="319">
        <v>65500</v>
      </c>
      <c r="N7" s="319"/>
      <c r="O7" s="319">
        <v>330000</v>
      </c>
      <c r="P7" s="319"/>
      <c r="Q7" s="319"/>
      <c r="R7" s="319"/>
      <c r="S7" s="319">
        <v>583500</v>
      </c>
    </row>
    <row r="8" spans="2:19">
      <c r="B8" s="147" t="s">
        <v>117</v>
      </c>
      <c r="C8" s="319"/>
      <c r="D8" s="319"/>
      <c r="E8" s="319">
        <v>45050</v>
      </c>
      <c r="F8" s="319"/>
      <c r="G8" s="319">
        <v>122125</v>
      </c>
      <c r="H8" s="319"/>
      <c r="I8" s="319">
        <v>561270</v>
      </c>
      <c r="J8" s="319">
        <v>260000</v>
      </c>
      <c r="K8" s="319"/>
      <c r="L8" s="319">
        <v>189112</v>
      </c>
      <c r="M8" s="319">
        <v>37500</v>
      </c>
      <c r="N8" s="319"/>
      <c r="O8" s="319"/>
      <c r="P8" s="319"/>
      <c r="Q8" s="319"/>
      <c r="R8" s="319"/>
      <c r="S8" s="319">
        <v>1215057</v>
      </c>
    </row>
    <row r="9" spans="2:19">
      <c r="B9" s="147" t="s">
        <v>1894</v>
      </c>
      <c r="C9" s="319"/>
      <c r="D9" s="319"/>
      <c r="E9" s="319"/>
      <c r="F9" s="319"/>
      <c r="G9" s="319"/>
      <c r="H9" s="319"/>
      <c r="I9" s="319"/>
      <c r="J9" s="319"/>
      <c r="K9" s="319"/>
      <c r="L9" s="319"/>
      <c r="M9" s="319"/>
      <c r="N9" s="319"/>
      <c r="O9" s="319"/>
      <c r="P9" s="319"/>
      <c r="Q9" s="319"/>
      <c r="R9" s="319"/>
      <c r="S9" s="319"/>
    </row>
    <row r="10" spans="2:19">
      <c r="B10" s="147" t="s">
        <v>2414</v>
      </c>
      <c r="C10" s="319"/>
      <c r="D10" s="319"/>
      <c r="E10" s="319"/>
      <c r="F10" s="319"/>
      <c r="G10" s="319"/>
      <c r="H10" s="319"/>
      <c r="I10" s="319"/>
      <c r="J10" s="319"/>
      <c r="K10" s="319"/>
      <c r="L10" s="319"/>
      <c r="M10" s="319"/>
      <c r="N10" s="319"/>
      <c r="O10" s="319"/>
      <c r="P10" s="319"/>
      <c r="Q10" s="319"/>
      <c r="R10" s="319">
        <v>65000</v>
      </c>
      <c r="S10" s="319">
        <v>65000</v>
      </c>
    </row>
    <row r="11" spans="2:19">
      <c r="B11" s="147" t="s">
        <v>463</v>
      </c>
      <c r="C11" s="319">
        <v>148000</v>
      </c>
      <c r="D11" s="319"/>
      <c r="E11" s="319">
        <v>45050</v>
      </c>
      <c r="F11" s="319">
        <v>463500</v>
      </c>
      <c r="G11" s="319">
        <v>122125</v>
      </c>
      <c r="H11" s="319">
        <v>999625</v>
      </c>
      <c r="I11" s="319">
        <v>561270</v>
      </c>
      <c r="J11" s="319">
        <v>260000</v>
      </c>
      <c r="K11" s="319">
        <v>450000</v>
      </c>
      <c r="L11" s="319">
        <v>189112</v>
      </c>
      <c r="M11" s="319">
        <v>782900</v>
      </c>
      <c r="N11" s="319">
        <v>70000</v>
      </c>
      <c r="O11" s="319">
        <v>3026900</v>
      </c>
      <c r="P11" s="319">
        <v>114500</v>
      </c>
      <c r="Q11" s="319">
        <v>10000</v>
      </c>
      <c r="R11" s="319">
        <v>65000</v>
      </c>
      <c r="S11" s="319">
        <v>7307982</v>
      </c>
    </row>
  </sheetData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/>
  <dimension ref="A1:K17"/>
  <sheetViews>
    <sheetView workbookViewId="0">
      <selection activeCell="L20" sqref="L20"/>
    </sheetView>
  </sheetViews>
  <sheetFormatPr baseColWidth="10" defaultColWidth="8.69921875" defaultRowHeight="13.8"/>
  <cols>
    <col min="1" max="2" width="16.09765625" style="69" customWidth="1"/>
    <col min="3" max="3" width="68.59765625" customWidth="1"/>
    <col min="4" max="4" width="15.69921875" customWidth="1"/>
    <col min="5" max="5" width="17.09765625" customWidth="1"/>
    <col min="6" max="8" width="17.09765625" style="71" customWidth="1"/>
    <col min="9" max="9" width="7.09765625" customWidth="1"/>
    <col min="10" max="10" width="17.09765625" customWidth="1"/>
    <col min="11" max="11" width="20.69921875" customWidth="1"/>
  </cols>
  <sheetData>
    <row r="1" spans="1:11" ht="14.4">
      <c r="A1" s="73" t="s">
        <v>0</v>
      </c>
      <c r="B1" s="73"/>
      <c r="C1" s="74" t="s">
        <v>1</v>
      </c>
      <c r="D1" s="74" t="s">
        <v>121</v>
      </c>
      <c r="E1" s="74" t="s">
        <v>3</v>
      </c>
      <c r="F1" s="86" t="s">
        <v>29</v>
      </c>
      <c r="G1" s="87" t="s">
        <v>12</v>
      </c>
      <c r="H1" s="87" t="s">
        <v>30</v>
      </c>
      <c r="I1" s="75" t="s">
        <v>10</v>
      </c>
      <c r="J1" s="75" t="s">
        <v>6</v>
      </c>
      <c r="K1" s="99" t="s">
        <v>71</v>
      </c>
    </row>
    <row r="2" spans="1:11" ht="15.6">
      <c r="A2" s="320">
        <v>45901</v>
      </c>
      <c r="B2" s="320"/>
      <c r="C2" s="228" t="s">
        <v>3591</v>
      </c>
      <c r="D2" s="120"/>
      <c r="E2" s="120"/>
      <c r="F2" s="123"/>
      <c r="G2" s="122"/>
      <c r="H2" s="323">
        <v>5848090</v>
      </c>
      <c r="I2" s="76" t="s">
        <v>147</v>
      </c>
      <c r="J2" s="76"/>
      <c r="K2" s="76"/>
    </row>
    <row r="3" spans="1:11" ht="15.6">
      <c r="A3" s="362">
        <v>45901</v>
      </c>
      <c r="B3" s="320"/>
      <c r="C3" s="228" t="s">
        <v>3578</v>
      </c>
      <c r="D3" s="167" t="s">
        <v>123</v>
      </c>
      <c r="E3" s="168"/>
      <c r="F3" s="123">
        <v>2000000</v>
      </c>
      <c r="G3" s="122"/>
      <c r="H3" s="95">
        <f t="shared" ref="H3:H17" si="0">H2-F3+G3</f>
        <v>3848090</v>
      </c>
      <c r="I3" s="76" t="s">
        <v>147</v>
      </c>
      <c r="J3" s="76" t="s">
        <v>3592</v>
      </c>
      <c r="K3" s="76"/>
    </row>
    <row r="4" spans="1:11" ht="14.4">
      <c r="A4" s="362">
        <v>45902</v>
      </c>
      <c r="B4" s="320"/>
      <c r="C4" s="121" t="s">
        <v>3579</v>
      </c>
      <c r="D4" s="118" t="s">
        <v>126</v>
      </c>
      <c r="E4" s="118" t="s">
        <v>120</v>
      </c>
      <c r="F4" s="123">
        <v>450000</v>
      </c>
      <c r="G4" s="122"/>
      <c r="H4" s="95">
        <f t="shared" si="0"/>
        <v>3398090</v>
      </c>
      <c r="I4" s="76" t="s">
        <v>147</v>
      </c>
      <c r="J4" s="76" t="s">
        <v>3593</v>
      </c>
      <c r="K4" s="76"/>
    </row>
    <row r="5" spans="1:11" ht="14.4">
      <c r="A5" s="362">
        <v>45902</v>
      </c>
      <c r="B5" s="320"/>
      <c r="C5" s="121" t="s">
        <v>3580</v>
      </c>
      <c r="D5" s="118" t="s">
        <v>126</v>
      </c>
      <c r="E5" s="118" t="s">
        <v>120</v>
      </c>
      <c r="F5" s="123">
        <v>375000</v>
      </c>
      <c r="G5" s="123"/>
      <c r="H5" s="95">
        <f t="shared" si="0"/>
        <v>3023090</v>
      </c>
      <c r="I5" s="76" t="s">
        <v>147</v>
      </c>
      <c r="J5" s="76" t="s">
        <v>3594</v>
      </c>
      <c r="K5" s="76"/>
    </row>
    <row r="6" spans="1:11" ht="14.4">
      <c r="A6" s="362">
        <v>45903</v>
      </c>
      <c r="B6" s="320"/>
      <c r="C6" s="118" t="s">
        <v>3581</v>
      </c>
      <c r="D6" s="167" t="s">
        <v>303</v>
      </c>
      <c r="E6" s="126" t="s">
        <v>117</v>
      </c>
      <c r="F6" s="123">
        <v>260000</v>
      </c>
      <c r="G6" s="123"/>
      <c r="H6" s="95">
        <f t="shared" si="0"/>
        <v>2763090</v>
      </c>
      <c r="I6" s="76" t="s">
        <v>147</v>
      </c>
      <c r="J6" s="76" t="s">
        <v>3595</v>
      </c>
      <c r="K6" s="76"/>
    </row>
    <row r="7" spans="1:11" ht="14.4">
      <c r="A7" s="363">
        <v>45903</v>
      </c>
      <c r="B7" s="368"/>
      <c r="C7" s="166" t="s">
        <v>2778</v>
      </c>
      <c r="D7" s="240" t="s">
        <v>125</v>
      </c>
      <c r="E7" s="168" t="s">
        <v>117</v>
      </c>
      <c r="F7" s="123">
        <v>500000</v>
      </c>
      <c r="G7" s="122"/>
      <c r="H7" s="95">
        <f t="shared" si="0"/>
        <v>2263090</v>
      </c>
      <c r="I7" s="127" t="s">
        <v>147</v>
      </c>
      <c r="J7" s="76" t="s">
        <v>3596</v>
      </c>
      <c r="K7" s="76"/>
    </row>
    <row r="8" spans="1:11" ht="15.6">
      <c r="A8" s="362">
        <v>45908</v>
      </c>
      <c r="B8" s="320"/>
      <c r="C8" s="228" t="s">
        <v>3582</v>
      </c>
      <c r="D8" s="167" t="s">
        <v>123</v>
      </c>
      <c r="E8" s="126"/>
      <c r="F8" s="366">
        <v>1000000</v>
      </c>
      <c r="G8" s="325"/>
      <c r="H8" s="95">
        <f t="shared" si="0"/>
        <v>1263090</v>
      </c>
      <c r="I8" s="127" t="s">
        <v>147</v>
      </c>
      <c r="J8" s="76" t="s">
        <v>3597</v>
      </c>
      <c r="K8" s="76"/>
    </row>
    <row r="9" spans="1:11" ht="15.6">
      <c r="A9" s="362">
        <v>45916</v>
      </c>
      <c r="B9" s="320"/>
      <c r="C9" s="228" t="s">
        <v>3583</v>
      </c>
      <c r="D9" s="240" t="s">
        <v>123</v>
      </c>
      <c r="E9" s="365"/>
      <c r="F9" s="364">
        <v>500000</v>
      </c>
      <c r="G9" s="325"/>
      <c r="H9" s="95">
        <f t="shared" si="0"/>
        <v>763090</v>
      </c>
      <c r="I9" s="76" t="s">
        <v>147</v>
      </c>
      <c r="J9" s="76" t="s">
        <v>3598</v>
      </c>
      <c r="K9" s="76"/>
    </row>
    <row r="10" spans="1:11" ht="14.4">
      <c r="A10" s="362">
        <v>45916</v>
      </c>
      <c r="B10" s="320"/>
      <c r="C10" s="119" t="s">
        <v>3584</v>
      </c>
      <c r="D10" s="167" t="s">
        <v>122</v>
      </c>
      <c r="E10" s="118" t="s">
        <v>116</v>
      </c>
      <c r="F10" s="123">
        <v>200000</v>
      </c>
      <c r="G10" s="122"/>
      <c r="H10" s="95">
        <f t="shared" si="0"/>
        <v>563090</v>
      </c>
      <c r="I10" s="127" t="s">
        <v>147</v>
      </c>
      <c r="J10" s="76" t="s">
        <v>3599</v>
      </c>
      <c r="K10" s="76"/>
    </row>
    <row r="11" spans="1:11" ht="14.4">
      <c r="A11" s="363">
        <v>45919</v>
      </c>
      <c r="B11" s="320"/>
      <c r="C11" s="367" t="s">
        <v>3585</v>
      </c>
      <c r="D11" s="168" t="s">
        <v>122</v>
      </c>
      <c r="E11" s="365" t="s">
        <v>116</v>
      </c>
      <c r="F11" s="364">
        <v>150000</v>
      </c>
      <c r="G11" s="325"/>
      <c r="H11" s="95">
        <f t="shared" si="0"/>
        <v>413090</v>
      </c>
      <c r="I11" s="76" t="s">
        <v>147</v>
      </c>
      <c r="J11" s="76" t="s">
        <v>3600</v>
      </c>
      <c r="K11" s="76"/>
    </row>
    <row r="12" spans="1:11" ht="15.6">
      <c r="A12" s="363">
        <v>45922</v>
      </c>
      <c r="B12" s="320"/>
      <c r="C12" s="228" t="s">
        <v>3586</v>
      </c>
      <c r="D12" s="240" t="s">
        <v>123</v>
      </c>
      <c r="E12" s="365"/>
      <c r="F12" s="364">
        <v>200000</v>
      </c>
      <c r="G12" s="325"/>
      <c r="H12" s="95">
        <f t="shared" si="0"/>
        <v>213090</v>
      </c>
      <c r="I12" s="76" t="s">
        <v>147</v>
      </c>
      <c r="J12" s="76" t="s">
        <v>3601</v>
      </c>
      <c r="K12" s="76"/>
    </row>
    <row r="13" spans="1:11" ht="14.4">
      <c r="A13" s="453">
        <v>45930</v>
      </c>
      <c r="B13" s="321"/>
      <c r="C13" s="454" t="s">
        <v>2768</v>
      </c>
      <c r="D13" s="455" t="s">
        <v>122</v>
      </c>
      <c r="E13" s="456" t="s">
        <v>116</v>
      </c>
      <c r="F13" s="457">
        <v>150000</v>
      </c>
      <c r="G13" s="458"/>
      <c r="H13" s="459">
        <f t="shared" si="0"/>
        <v>63090</v>
      </c>
      <c r="I13" s="322" t="s">
        <v>147</v>
      </c>
      <c r="J13" s="76" t="s">
        <v>1533</v>
      </c>
      <c r="K13" s="76"/>
    </row>
    <row r="14" spans="1:11" ht="14.4">
      <c r="A14" s="363">
        <v>45929</v>
      </c>
      <c r="B14" s="320"/>
      <c r="C14" s="166" t="s">
        <v>3587</v>
      </c>
      <c r="D14" s="240" t="s">
        <v>124</v>
      </c>
      <c r="E14" s="126"/>
      <c r="F14" s="364"/>
      <c r="G14" s="325">
        <v>266752</v>
      </c>
      <c r="H14" s="95">
        <f t="shared" si="0"/>
        <v>329842</v>
      </c>
      <c r="I14" s="76" t="s">
        <v>147</v>
      </c>
      <c r="J14" s="127" t="s">
        <v>3602</v>
      </c>
      <c r="K14" s="76"/>
    </row>
    <row r="15" spans="1:11" ht="14.4">
      <c r="A15" s="363">
        <v>45929</v>
      </c>
      <c r="B15" s="320"/>
      <c r="C15" s="166" t="s">
        <v>3588</v>
      </c>
      <c r="D15" s="240" t="s">
        <v>124</v>
      </c>
      <c r="E15" s="365"/>
      <c r="F15" s="366"/>
      <c r="G15" s="122">
        <v>2934267</v>
      </c>
      <c r="H15" s="95">
        <f t="shared" si="0"/>
        <v>3264109</v>
      </c>
      <c r="I15" s="76" t="s">
        <v>147</v>
      </c>
      <c r="J15" s="127" t="s">
        <v>3603</v>
      </c>
    </row>
    <row r="16" spans="1:11" ht="14.4">
      <c r="A16" s="363">
        <v>45929</v>
      </c>
      <c r="B16" s="320"/>
      <c r="C16" s="166" t="s">
        <v>3589</v>
      </c>
      <c r="D16" s="240" t="s">
        <v>124</v>
      </c>
      <c r="E16" s="365"/>
      <c r="F16" s="123"/>
      <c r="G16" s="122">
        <v>3201019</v>
      </c>
      <c r="H16" s="95">
        <f t="shared" si="0"/>
        <v>6465128</v>
      </c>
      <c r="I16" s="76" t="s">
        <v>147</v>
      </c>
      <c r="J16" s="127" t="s">
        <v>3604</v>
      </c>
    </row>
    <row r="17" spans="1:10" ht="15.6">
      <c r="A17" s="363">
        <v>45930</v>
      </c>
      <c r="B17" s="320"/>
      <c r="C17" s="228" t="s">
        <v>3590</v>
      </c>
      <c r="D17" s="167" t="s">
        <v>123</v>
      </c>
      <c r="E17" s="168"/>
      <c r="F17" s="123">
        <v>2000000</v>
      </c>
      <c r="G17" s="122"/>
      <c r="H17" s="95">
        <f t="shared" si="0"/>
        <v>4465128</v>
      </c>
      <c r="I17" s="76" t="s">
        <v>147</v>
      </c>
      <c r="J17" s="76" t="s">
        <v>3605</v>
      </c>
    </row>
  </sheetData>
  <autoFilter ref="A1:J15">
    <sortState ref="A2:I15">
      <sortCondition ref="A1:A14"/>
    </sortState>
  </autoFilter>
  <pageMargins left="0.7" right="0.7" top="0.78740157499999996" bottom="0.78740157499999996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">
    <pageSetUpPr fitToPage="1"/>
  </sheetPr>
  <dimension ref="A1:E78"/>
  <sheetViews>
    <sheetView topLeftCell="E12" zoomScaleNormal="100" workbookViewId="0">
      <selection activeCell="Q5" sqref="Q5"/>
    </sheetView>
  </sheetViews>
  <sheetFormatPr baseColWidth="10" defaultColWidth="8.69921875" defaultRowHeight="13.8"/>
  <cols>
    <col min="1" max="1" width="13.09765625" customWidth="1"/>
    <col min="2" max="2" width="10.09765625" customWidth="1"/>
    <col min="3" max="3" width="106.09765625" customWidth="1"/>
    <col min="4" max="4" width="29.296875" customWidth="1"/>
    <col min="5" max="5" width="16.59765625" customWidth="1"/>
  </cols>
  <sheetData>
    <row r="1" spans="1:5" ht="15.6">
      <c r="A1" s="494" t="s">
        <v>32</v>
      </c>
      <c r="B1" s="495"/>
      <c r="C1" s="495"/>
      <c r="D1" s="495"/>
      <c r="E1" s="495"/>
    </row>
    <row r="2" spans="1:5" ht="15.6">
      <c r="A2" s="496" t="s">
        <v>33</v>
      </c>
      <c r="B2" s="496" t="s">
        <v>97</v>
      </c>
      <c r="C2" s="496"/>
      <c r="D2" s="497"/>
      <c r="E2" s="496"/>
    </row>
    <row r="3" spans="1:5" ht="15.6">
      <c r="A3" s="496" t="s">
        <v>34</v>
      </c>
      <c r="B3" s="498">
        <v>45901</v>
      </c>
      <c r="C3" s="499"/>
      <c r="D3" s="496"/>
      <c r="E3" s="496"/>
    </row>
    <row r="4" spans="1:5" ht="15.6">
      <c r="A4" s="496"/>
      <c r="B4" s="496"/>
      <c r="C4" s="496"/>
      <c r="D4" s="496"/>
      <c r="E4" s="496"/>
    </row>
    <row r="5" spans="1:5" ht="15.6">
      <c r="A5" s="496" t="s">
        <v>35</v>
      </c>
      <c r="B5" s="496"/>
      <c r="C5" s="496"/>
      <c r="D5" s="496"/>
      <c r="E5" s="496"/>
    </row>
    <row r="6" spans="1:5" ht="16.2" thickBot="1">
      <c r="A6" s="500" t="s">
        <v>52</v>
      </c>
      <c r="B6" s="500"/>
      <c r="C6" s="500"/>
      <c r="D6" s="500"/>
      <c r="E6" s="500"/>
    </row>
    <row r="7" spans="1:5" ht="16.2" thickBot="1">
      <c r="A7" s="587" t="s">
        <v>36</v>
      </c>
      <c r="B7" s="588"/>
      <c r="C7" s="588"/>
      <c r="D7" s="588"/>
      <c r="E7" s="589"/>
    </row>
    <row r="8" spans="1:5" ht="16.2" thickBot="1">
      <c r="A8" s="501"/>
      <c r="B8" s="502"/>
      <c r="C8" s="502"/>
      <c r="D8" s="503"/>
      <c r="E8" s="504"/>
    </row>
    <row r="9" spans="1:5" ht="15.6">
      <c r="A9" s="505" t="s">
        <v>0</v>
      </c>
      <c r="B9" s="506" t="s">
        <v>37</v>
      </c>
      <c r="C9" s="507" t="s">
        <v>38</v>
      </c>
      <c r="D9" s="508" t="s">
        <v>39</v>
      </c>
      <c r="E9" s="509" t="s">
        <v>40</v>
      </c>
    </row>
    <row r="10" spans="1:5" ht="15.6">
      <c r="A10" s="510">
        <v>45901</v>
      </c>
      <c r="B10" s="510"/>
      <c r="C10" s="228" t="s">
        <v>3591</v>
      </c>
      <c r="D10" s="511">
        <f>'Bank journal  '!H2</f>
        <v>5848090</v>
      </c>
      <c r="E10" s="512"/>
    </row>
    <row r="11" spans="1:5" ht="15.6">
      <c r="A11" s="513">
        <v>45901</v>
      </c>
      <c r="B11" s="510"/>
      <c r="C11" s="228" t="s">
        <v>3578</v>
      </c>
      <c r="D11" s="514"/>
      <c r="E11" s="512">
        <v>2000000</v>
      </c>
    </row>
    <row r="12" spans="1:5" ht="15.6">
      <c r="A12" s="513">
        <v>45902</v>
      </c>
      <c r="B12" s="510"/>
      <c r="C12" s="515" t="s">
        <v>3579</v>
      </c>
      <c r="D12" s="514"/>
      <c r="E12" s="512">
        <v>450000</v>
      </c>
    </row>
    <row r="13" spans="1:5" ht="15.6">
      <c r="A13" s="513">
        <v>45902</v>
      </c>
      <c r="B13" s="510"/>
      <c r="C13" s="515" t="s">
        <v>3580</v>
      </c>
      <c r="D13" s="512"/>
      <c r="E13" s="512">
        <v>375000</v>
      </c>
    </row>
    <row r="14" spans="1:5" s="333" customFormat="1" ht="15.6">
      <c r="A14" s="513">
        <v>45903</v>
      </c>
      <c r="B14" s="516"/>
      <c r="C14" s="327" t="s">
        <v>3581</v>
      </c>
      <c r="D14" s="512"/>
      <c r="E14" s="512">
        <v>260000</v>
      </c>
    </row>
    <row r="15" spans="1:5" s="333" customFormat="1" ht="15.6">
      <c r="A15" s="517">
        <v>45903</v>
      </c>
      <c r="B15" s="516"/>
      <c r="C15" s="328" t="s">
        <v>2778</v>
      </c>
      <c r="D15" s="514"/>
      <c r="E15" s="512">
        <v>500000</v>
      </c>
    </row>
    <row r="16" spans="1:5" ht="15.6">
      <c r="A16" s="513">
        <v>45908</v>
      </c>
      <c r="B16" s="510"/>
      <c r="C16" s="228" t="s">
        <v>3582</v>
      </c>
      <c r="D16" s="369"/>
      <c r="E16" s="518">
        <v>1000000</v>
      </c>
    </row>
    <row r="17" spans="1:5" ht="15.6">
      <c r="A17" s="513">
        <v>45916</v>
      </c>
      <c r="B17" s="510"/>
      <c r="C17" s="228" t="s">
        <v>3583</v>
      </c>
      <c r="D17" s="369"/>
      <c r="E17" s="332">
        <v>500000</v>
      </c>
    </row>
    <row r="18" spans="1:5" ht="15.6">
      <c r="A18" s="513">
        <v>45916</v>
      </c>
      <c r="B18" s="510"/>
      <c r="C18" s="515" t="s">
        <v>3584</v>
      </c>
      <c r="D18" s="514"/>
      <c r="E18" s="512">
        <v>200000</v>
      </c>
    </row>
    <row r="19" spans="1:5" ht="15.6">
      <c r="A19" s="517">
        <v>45919</v>
      </c>
      <c r="B19" s="510"/>
      <c r="C19" s="328" t="s">
        <v>3585</v>
      </c>
      <c r="D19" s="369"/>
      <c r="E19" s="332">
        <v>150000</v>
      </c>
    </row>
    <row r="20" spans="1:5" ht="15.6">
      <c r="A20" s="517">
        <v>45922</v>
      </c>
      <c r="B20" s="510"/>
      <c r="C20" s="228" t="s">
        <v>3586</v>
      </c>
      <c r="D20" s="369"/>
      <c r="E20" s="332">
        <v>200000</v>
      </c>
    </row>
    <row r="21" spans="1:5" ht="15.6">
      <c r="A21" s="519">
        <v>45930</v>
      </c>
      <c r="B21" s="510"/>
      <c r="C21" s="520" t="s">
        <v>2768</v>
      </c>
      <c r="D21" s="521"/>
      <c r="E21" s="522">
        <v>150000</v>
      </c>
    </row>
    <row r="22" spans="1:5" ht="15.6">
      <c r="A22" s="517">
        <v>45929</v>
      </c>
      <c r="B22" s="510"/>
      <c r="C22" s="328" t="s">
        <v>3587</v>
      </c>
      <c r="D22" s="369">
        <v>266752</v>
      </c>
      <c r="E22" s="332"/>
    </row>
    <row r="23" spans="1:5" ht="15.6">
      <c r="A23" s="517">
        <v>45929</v>
      </c>
      <c r="B23" s="510"/>
      <c r="C23" s="328" t="s">
        <v>3588</v>
      </c>
      <c r="D23" s="514">
        <v>2934267</v>
      </c>
      <c r="E23" s="518"/>
    </row>
    <row r="24" spans="1:5" ht="15.6">
      <c r="A24" s="517">
        <v>45929</v>
      </c>
      <c r="B24" s="510"/>
      <c r="C24" s="328" t="s">
        <v>3589</v>
      </c>
      <c r="D24" s="514">
        <v>3201019</v>
      </c>
      <c r="E24" s="512"/>
    </row>
    <row r="25" spans="1:5" ht="15.6">
      <c r="A25" s="517">
        <v>45930</v>
      </c>
      <c r="B25" s="510"/>
      <c r="C25" s="228" t="s">
        <v>3590</v>
      </c>
      <c r="D25" s="514"/>
      <c r="E25" s="512">
        <v>2000000</v>
      </c>
    </row>
    <row r="26" spans="1:5" ht="15.6">
      <c r="A26" s="513"/>
      <c r="B26" s="523"/>
      <c r="C26" s="524"/>
      <c r="D26" s="514"/>
      <c r="E26" s="512"/>
    </row>
    <row r="27" spans="1:5" ht="15.6">
      <c r="A27" s="525"/>
      <c r="B27" s="526"/>
      <c r="C27" s="132" t="s">
        <v>41</v>
      </c>
      <c r="D27" s="527"/>
      <c r="E27" s="528"/>
    </row>
    <row r="28" spans="1:5" ht="15.6">
      <c r="A28" s="513"/>
      <c r="B28" s="329"/>
      <c r="C28" s="328"/>
      <c r="D28" s="514"/>
      <c r="E28" s="512"/>
    </row>
    <row r="29" spans="1:5" ht="15.6">
      <c r="A29" s="513"/>
      <c r="B29" s="329"/>
      <c r="C29" s="179"/>
      <c r="D29" s="514"/>
      <c r="E29" s="512"/>
    </row>
    <row r="30" spans="1:5" ht="15.6">
      <c r="A30" s="513"/>
      <c r="B30" s="329"/>
      <c r="C30" s="515"/>
      <c r="D30" s="514"/>
      <c r="E30" s="512"/>
    </row>
    <row r="31" spans="1:5" ht="15.6">
      <c r="A31" s="513"/>
      <c r="B31" s="329"/>
      <c r="C31" s="515"/>
      <c r="D31" s="514"/>
      <c r="E31" s="512"/>
    </row>
    <row r="32" spans="1:5" ht="15.6">
      <c r="A32" s="513"/>
      <c r="B32" s="329"/>
      <c r="C32" s="515"/>
      <c r="D32" s="514"/>
      <c r="E32" s="512"/>
    </row>
    <row r="33" spans="1:5" ht="15.6">
      <c r="A33" s="513"/>
      <c r="B33" s="329"/>
      <c r="C33" s="515"/>
      <c r="D33" s="514"/>
      <c r="E33" s="512"/>
    </row>
    <row r="34" spans="1:5" ht="16.2" thickBot="1">
      <c r="A34" s="513"/>
      <c r="B34" s="329"/>
      <c r="C34" s="327"/>
      <c r="D34" s="514"/>
      <c r="E34" s="512"/>
    </row>
    <row r="35" spans="1:5" ht="16.2" thickBot="1">
      <c r="A35" s="529"/>
      <c r="B35" s="530"/>
      <c r="C35" s="531" t="s">
        <v>42</v>
      </c>
      <c r="D35" s="532">
        <f>SUM(D10:D34)-SUM(E10:E34)</f>
        <v>4465128</v>
      </c>
      <c r="E35" s="533"/>
    </row>
    <row r="36" spans="1:5" ht="15.6" thickBot="1">
      <c r="A36" s="534"/>
      <c r="B36" s="535"/>
      <c r="C36" s="535"/>
      <c r="D36" s="536"/>
      <c r="E36" s="536"/>
    </row>
    <row r="37" spans="1:5" ht="15.6">
      <c r="A37" s="537"/>
      <c r="B37" s="496"/>
      <c r="C37" s="496" t="s">
        <v>43</v>
      </c>
      <c r="D37" s="538"/>
      <c r="E37" s="537"/>
    </row>
    <row r="38" spans="1:5" ht="15.6">
      <c r="A38" s="537"/>
      <c r="B38" s="496"/>
      <c r="C38" s="496"/>
      <c r="D38" s="538"/>
      <c r="E38" s="539">
        <f>+D34-E34</f>
        <v>0</v>
      </c>
    </row>
    <row r="39" spans="1:5" ht="15.6">
      <c r="A39" s="540"/>
      <c r="B39" s="540"/>
      <c r="C39" s="541"/>
      <c r="D39" s="538"/>
      <c r="E39" s="542"/>
    </row>
    <row r="40" spans="1:5" ht="15.6">
      <c r="A40" s="543"/>
      <c r="B40" s="543"/>
      <c r="C40" s="544" t="s">
        <v>56</v>
      </c>
      <c r="D40" s="538"/>
      <c r="E40" s="545"/>
    </row>
    <row r="41" spans="1:5" ht="16.2" thickBot="1">
      <c r="A41" s="543"/>
      <c r="B41" s="543"/>
      <c r="C41" s="546"/>
      <c r="D41" s="545"/>
      <c r="E41" s="545"/>
    </row>
    <row r="42" spans="1:5" ht="15.6">
      <c r="A42" s="543"/>
      <c r="B42" s="543"/>
      <c r="C42" s="590" t="s">
        <v>44</v>
      </c>
      <c r="D42" s="591"/>
      <c r="E42" s="592"/>
    </row>
    <row r="43" spans="1:5" ht="22.5" customHeight="1">
      <c r="A43" s="543"/>
      <c r="B43" s="543"/>
      <c r="C43" s="547" t="s">
        <v>95</v>
      </c>
      <c r="D43" s="593"/>
      <c r="E43" s="594"/>
    </row>
    <row r="44" spans="1:5" ht="15">
      <c r="A44" s="548"/>
      <c r="B44" s="543"/>
      <c r="C44" s="549"/>
      <c r="D44" s="595"/>
      <c r="E44" s="596"/>
    </row>
    <row r="45" spans="1:5" ht="15.6" thickBot="1">
      <c r="A45" s="543"/>
      <c r="B45" s="543"/>
      <c r="C45" s="550" t="s">
        <v>96</v>
      </c>
      <c r="D45" s="597"/>
      <c r="E45" s="598"/>
    </row>
    <row r="46" spans="1:5" ht="16.2" thickBot="1">
      <c r="A46" s="543"/>
      <c r="B46" s="543"/>
      <c r="C46" s="543"/>
      <c r="D46" s="551"/>
      <c r="E46" s="551"/>
    </row>
    <row r="47" spans="1:5" ht="15.6">
      <c r="A47" s="552" t="s">
        <v>0</v>
      </c>
      <c r="B47" s="553" t="s">
        <v>45</v>
      </c>
      <c r="C47" s="554" t="s">
        <v>1</v>
      </c>
      <c r="D47" s="555" t="s">
        <v>46</v>
      </c>
      <c r="E47" s="556"/>
    </row>
    <row r="48" spans="1:5" ht="15">
      <c r="A48" s="223"/>
      <c r="B48" s="223"/>
      <c r="C48" s="223"/>
      <c r="D48" s="557"/>
      <c r="E48" s="558"/>
    </row>
    <row r="49" spans="1:5" ht="15.6">
      <c r="A49" s="223"/>
      <c r="B49" s="223"/>
      <c r="C49" s="559" t="s">
        <v>53</v>
      </c>
      <c r="D49" s="557">
        <f>D35</f>
        <v>4465128</v>
      </c>
      <c r="E49" s="558"/>
    </row>
    <row r="50" spans="1:5" ht="15">
      <c r="A50" s="223"/>
      <c r="B50" s="223"/>
      <c r="C50" s="223"/>
      <c r="D50" s="557"/>
      <c r="E50" s="558"/>
    </row>
    <row r="51" spans="1:5" ht="15">
      <c r="A51" s="223"/>
      <c r="B51" s="223"/>
      <c r="C51" s="223" t="s">
        <v>47</v>
      </c>
      <c r="D51" s="557"/>
      <c r="E51" s="558"/>
    </row>
    <row r="52" spans="1:5" ht="15.6">
      <c r="A52" s="223"/>
      <c r="B52" s="223"/>
      <c r="C52" s="559" t="s">
        <v>48</v>
      </c>
      <c r="D52" s="557"/>
      <c r="E52" s="558"/>
    </row>
    <row r="53" spans="1:5" ht="15.6">
      <c r="A53" s="513">
        <v>45930</v>
      </c>
      <c r="B53" s="329">
        <v>3654418</v>
      </c>
      <c r="C53" s="515" t="s">
        <v>2768</v>
      </c>
      <c r="D53" s="560">
        <v>150000</v>
      </c>
      <c r="E53" s="561"/>
    </row>
    <row r="54" spans="1:5" ht="15.6">
      <c r="A54" s="513"/>
      <c r="B54" s="329"/>
      <c r="C54" s="328"/>
      <c r="D54" s="514"/>
      <c r="E54" s="562"/>
    </row>
    <row r="55" spans="1:5" ht="15.6">
      <c r="A55" s="223"/>
      <c r="B55" s="563"/>
      <c r="C55" s="223"/>
      <c r="D55" s="557"/>
      <c r="E55" s="558"/>
    </row>
    <row r="56" spans="1:5" ht="15.6">
      <c r="A56" s="513"/>
      <c r="B56" s="329"/>
      <c r="C56" s="515"/>
      <c r="D56" s="564"/>
      <c r="E56" s="558"/>
    </row>
    <row r="57" spans="1:5" ht="15">
      <c r="A57" s="330"/>
      <c r="B57" s="565"/>
      <c r="C57" s="223"/>
      <c r="D57" s="557"/>
      <c r="E57" s="558"/>
    </row>
    <row r="58" spans="1:5" ht="15">
      <c r="A58" s="330"/>
      <c r="B58" s="565"/>
      <c r="C58" s="223"/>
      <c r="D58" s="557"/>
      <c r="E58" s="558"/>
    </row>
    <row r="59" spans="1:5" ht="15">
      <c r="A59" s="566"/>
      <c r="B59" s="567"/>
      <c r="C59" s="568"/>
      <c r="D59" s="569"/>
      <c r="E59" s="558"/>
    </row>
    <row r="60" spans="1:5" ht="15.6" thickBot="1">
      <c r="A60" s="570"/>
      <c r="B60" s="571"/>
      <c r="C60" s="568"/>
      <c r="D60" s="572"/>
      <c r="E60" s="558"/>
    </row>
    <row r="61" spans="1:5" ht="16.2" thickBot="1">
      <c r="A61" s="573">
        <v>45900</v>
      </c>
      <c r="B61" s="574"/>
      <c r="C61" s="575" t="s">
        <v>3608</v>
      </c>
      <c r="D61" s="576">
        <f>SUM(D49:D60)</f>
        <v>4615128</v>
      </c>
      <c r="E61" s="577"/>
    </row>
    <row r="62" spans="1:5" ht="16.2" thickBot="1">
      <c r="A62" s="543"/>
      <c r="B62" s="543"/>
      <c r="C62" s="578" t="s">
        <v>49</v>
      </c>
      <c r="D62" s="576">
        <v>4615128</v>
      </c>
      <c r="E62" s="579"/>
    </row>
    <row r="63" spans="1:5" ht="15.6" thickBot="1">
      <c r="A63" s="543"/>
      <c r="B63" s="543"/>
      <c r="C63" s="543"/>
      <c r="D63" s="545"/>
      <c r="E63" s="557"/>
    </row>
    <row r="64" spans="1:5" ht="16.2" thickBot="1">
      <c r="A64" s="543"/>
      <c r="B64" s="543"/>
      <c r="C64" s="580" t="s">
        <v>50</v>
      </c>
      <c r="D64" s="581">
        <f>D61-D62</f>
        <v>0</v>
      </c>
      <c r="E64" s="558"/>
    </row>
    <row r="65" spans="1:5" ht="15">
      <c r="A65" s="543"/>
      <c r="B65" s="543"/>
      <c r="C65" s="543" t="s">
        <v>51</v>
      </c>
      <c r="D65" s="545"/>
      <c r="E65" s="545"/>
    </row>
    <row r="66" spans="1:5" ht="15.6">
      <c r="A66" s="544" t="s">
        <v>54</v>
      </c>
      <c r="B66" s="544"/>
      <c r="C66" s="544"/>
      <c r="D66" s="544" t="s">
        <v>55</v>
      </c>
      <c r="E66" s="331"/>
    </row>
    <row r="67" spans="1:5" ht="15">
      <c r="A67" s="331"/>
      <c r="B67" s="331"/>
      <c r="C67" s="331"/>
      <c r="D67" s="331"/>
      <c r="E67" s="331"/>
    </row>
    <row r="68" spans="1:5" ht="15">
      <c r="A68" s="331"/>
      <c r="B68" s="331"/>
      <c r="C68" s="331"/>
      <c r="D68" s="331"/>
      <c r="E68" s="331"/>
    </row>
    <row r="69" spans="1:5" ht="17.399999999999999">
      <c r="A69" s="492"/>
      <c r="B69" s="492"/>
      <c r="C69" s="492"/>
      <c r="D69" s="492"/>
      <c r="E69" s="492"/>
    </row>
    <row r="70" spans="1:5" ht="17.399999999999999">
      <c r="A70" s="492"/>
      <c r="B70" s="492"/>
      <c r="C70" s="492"/>
      <c r="D70" s="492"/>
      <c r="E70" s="492"/>
    </row>
    <row r="71" spans="1:5" ht="17.399999999999999">
      <c r="A71" s="492"/>
      <c r="B71" s="492"/>
      <c r="C71" s="492"/>
      <c r="D71" s="492"/>
      <c r="E71" s="492"/>
    </row>
    <row r="72" spans="1:5" ht="18">
      <c r="A72" s="492"/>
      <c r="B72" s="492"/>
      <c r="C72" s="492"/>
      <c r="D72" s="492"/>
      <c r="E72" s="493"/>
    </row>
    <row r="73" spans="1:5" ht="14.4">
      <c r="E73" s="159"/>
    </row>
    <row r="74" spans="1:5" ht="14.4">
      <c r="E74" s="159"/>
    </row>
    <row r="75" spans="1:5" ht="14.4">
      <c r="E75" s="159"/>
    </row>
    <row r="76" spans="1:5" ht="14.4">
      <c r="E76" s="159"/>
    </row>
    <row r="77" spans="1:5" ht="14.4">
      <c r="E77" s="159"/>
    </row>
    <row r="78" spans="1:5">
      <c r="E78" s="160"/>
    </row>
  </sheetData>
  <autoFilter ref="A9:E27">
    <sortState ref="A10:E25">
      <sortCondition ref="A9:A25"/>
    </sortState>
  </autoFilter>
  <mergeCells count="5">
    <mergeCell ref="A7:E7"/>
    <mergeCell ref="C42:E42"/>
    <mergeCell ref="D43:E43"/>
    <mergeCell ref="D44:E44"/>
    <mergeCell ref="D45:E45"/>
  </mergeCells>
  <pageMargins left="0.7" right="0.7" top="0.78740157499999996" bottom="0.78740157499999996" header="0.3" footer="0.3"/>
  <pageSetup paperSize="9" scale="46" fitToHeight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" filterMode="1"/>
  <dimension ref="A1:J108"/>
  <sheetViews>
    <sheetView topLeftCell="A62" zoomScale="90" zoomScaleNormal="90" workbookViewId="0">
      <selection activeCell="A99" sqref="A99:XFD99"/>
    </sheetView>
  </sheetViews>
  <sheetFormatPr baseColWidth="10" defaultColWidth="8.69921875" defaultRowHeight="13.8"/>
  <cols>
    <col min="1" max="1" width="16.09765625" customWidth="1"/>
    <col min="2" max="2" width="77.09765625" customWidth="1"/>
    <col min="3" max="3" width="20.69921875" customWidth="1"/>
    <col min="4" max="4" width="19.3984375" customWidth="1"/>
    <col min="5" max="7" width="17.09765625" style="71" customWidth="1"/>
    <col min="8" max="9" width="17.09765625" customWidth="1"/>
    <col min="10" max="10" width="23.3984375" customWidth="1"/>
  </cols>
  <sheetData>
    <row r="1" spans="1:10" ht="14.4">
      <c r="A1" s="66" t="s">
        <v>0</v>
      </c>
      <c r="B1" s="67" t="s">
        <v>1</v>
      </c>
      <c r="C1" s="1" t="s">
        <v>2</v>
      </c>
      <c r="D1" s="1" t="s">
        <v>3</v>
      </c>
      <c r="E1" s="88" t="s">
        <v>29</v>
      </c>
      <c r="F1" s="89" t="s">
        <v>12</v>
      </c>
      <c r="G1" s="89" t="s">
        <v>30</v>
      </c>
      <c r="H1" s="68" t="s">
        <v>10</v>
      </c>
      <c r="I1" s="68" t="s">
        <v>6</v>
      </c>
      <c r="J1" s="98" t="s">
        <v>71</v>
      </c>
    </row>
    <row r="2" spans="1:10">
      <c r="A2" s="128">
        <v>45901</v>
      </c>
      <c r="B2" s="129" t="s">
        <v>3577</v>
      </c>
      <c r="C2" s="129"/>
      <c r="D2" s="129"/>
      <c r="E2" s="226"/>
      <c r="F2" s="227"/>
      <c r="G2" s="227">
        <v>56980</v>
      </c>
      <c r="H2" s="129"/>
      <c r="I2" s="129"/>
    </row>
    <row r="3" spans="1:10">
      <c r="A3" s="442">
        <v>45901</v>
      </c>
      <c r="B3" s="76" t="s">
        <v>3515</v>
      </c>
      <c r="C3" s="76" t="s">
        <v>123</v>
      </c>
      <c r="D3" s="76"/>
      <c r="E3" s="218"/>
      <c r="F3" s="443">
        <v>2000000</v>
      </c>
      <c r="G3" s="444">
        <f t="shared" ref="G3:G66" si="0">G2+F3-E3</f>
        <v>2056980</v>
      </c>
      <c r="H3" s="445" t="s">
        <v>147</v>
      </c>
      <c r="I3" s="446" t="s">
        <v>3516</v>
      </c>
    </row>
    <row r="4" spans="1:10" hidden="1">
      <c r="A4" s="442">
        <v>45901</v>
      </c>
      <c r="B4" s="76" t="s">
        <v>3517</v>
      </c>
      <c r="C4" s="127" t="s">
        <v>151</v>
      </c>
      <c r="D4" s="127" t="s">
        <v>117</v>
      </c>
      <c r="E4" s="218">
        <v>220000</v>
      </c>
      <c r="F4" s="219"/>
      <c r="G4" s="444">
        <f t="shared" si="0"/>
        <v>1836980</v>
      </c>
      <c r="H4" s="447" t="s">
        <v>1899</v>
      </c>
      <c r="I4" s="127" t="s">
        <v>1533</v>
      </c>
    </row>
    <row r="5" spans="1:10">
      <c r="A5" s="442">
        <v>45901</v>
      </c>
      <c r="B5" s="127" t="s">
        <v>192</v>
      </c>
      <c r="C5" s="127" t="s">
        <v>123</v>
      </c>
      <c r="D5" s="76"/>
      <c r="E5" s="218">
        <v>150000</v>
      </c>
      <c r="F5" s="219"/>
      <c r="G5" s="444">
        <f t="shared" si="0"/>
        <v>1686980</v>
      </c>
      <c r="H5" s="448" t="s">
        <v>192</v>
      </c>
      <c r="I5" s="446" t="s">
        <v>3518</v>
      </c>
    </row>
    <row r="6" spans="1:10" hidden="1">
      <c r="A6" s="442">
        <v>45901</v>
      </c>
      <c r="B6" s="76" t="s">
        <v>2931</v>
      </c>
      <c r="C6" s="127" t="s">
        <v>176</v>
      </c>
      <c r="D6" s="76" t="s">
        <v>116</v>
      </c>
      <c r="E6" s="218">
        <v>150000</v>
      </c>
      <c r="F6" s="219"/>
      <c r="G6" s="444">
        <f t="shared" si="0"/>
        <v>1536980</v>
      </c>
      <c r="H6" s="449" t="s">
        <v>583</v>
      </c>
      <c r="I6" s="446" t="s">
        <v>2971</v>
      </c>
    </row>
    <row r="7" spans="1:10" hidden="1">
      <c r="A7" s="442">
        <v>45901</v>
      </c>
      <c r="B7" s="76" t="s">
        <v>2932</v>
      </c>
      <c r="C7" s="127" t="s">
        <v>173</v>
      </c>
      <c r="D7" s="76" t="s">
        <v>116</v>
      </c>
      <c r="E7" s="218">
        <v>12000</v>
      </c>
      <c r="F7" s="219"/>
      <c r="G7" s="444">
        <f t="shared" si="0"/>
        <v>1524980</v>
      </c>
      <c r="H7" s="449" t="s">
        <v>583</v>
      </c>
      <c r="I7" s="446" t="s">
        <v>2972</v>
      </c>
    </row>
    <row r="8" spans="1:10" hidden="1">
      <c r="A8" s="442">
        <v>45901</v>
      </c>
      <c r="B8" s="127" t="s">
        <v>2934</v>
      </c>
      <c r="C8" s="76" t="s">
        <v>181</v>
      </c>
      <c r="D8" s="76" t="s">
        <v>117</v>
      </c>
      <c r="E8" s="218">
        <v>9360</v>
      </c>
      <c r="F8" s="219"/>
      <c r="G8" s="444">
        <f t="shared" si="0"/>
        <v>1515620</v>
      </c>
      <c r="H8" s="127" t="s">
        <v>583</v>
      </c>
      <c r="I8" s="446" t="s">
        <v>2973</v>
      </c>
    </row>
    <row r="9" spans="1:10">
      <c r="A9" s="442">
        <v>45902</v>
      </c>
      <c r="B9" s="76" t="s">
        <v>196</v>
      </c>
      <c r="C9" s="76" t="s">
        <v>123</v>
      </c>
      <c r="D9" s="76"/>
      <c r="E9" s="218">
        <v>140000</v>
      </c>
      <c r="F9" s="219"/>
      <c r="G9" s="444">
        <f t="shared" si="0"/>
        <v>1375620</v>
      </c>
      <c r="H9" s="448" t="s">
        <v>196</v>
      </c>
      <c r="I9" s="446" t="s">
        <v>3519</v>
      </c>
    </row>
    <row r="10" spans="1:10">
      <c r="A10" s="442">
        <v>45902</v>
      </c>
      <c r="B10" s="76" t="s">
        <v>1508</v>
      </c>
      <c r="C10" s="76" t="s">
        <v>123</v>
      </c>
      <c r="D10" s="76"/>
      <c r="E10" s="218">
        <v>125000</v>
      </c>
      <c r="F10" s="219"/>
      <c r="G10" s="444">
        <f t="shared" si="0"/>
        <v>1250620</v>
      </c>
      <c r="H10" s="448" t="s">
        <v>1508</v>
      </c>
      <c r="I10" s="446" t="s">
        <v>3520</v>
      </c>
    </row>
    <row r="11" spans="1:10" hidden="1">
      <c r="A11" s="442">
        <v>45902</v>
      </c>
      <c r="B11" s="127" t="s">
        <v>3307</v>
      </c>
      <c r="C11" s="76" t="s">
        <v>181</v>
      </c>
      <c r="D11" s="76" t="s">
        <v>117</v>
      </c>
      <c r="E11" s="218">
        <v>7950</v>
      </c>
      <c r="F11" s="219"/>
      <c r="G11" s="444">
        <f t="shared" si="0"/>
        <v>1242670</v>
      </c>
      <c r="H11" s="449" t="s">
        <v>189</v>
      </c>
      <c r="I11" s="446" t="s">
        <v>3325</v>
      </c>
    </row>
    <row r="12" spans="1:10" ht="15.6" hidden="1">
      <c r="A12" s="442">
        <v>45902</v>
      </c>
      <c r="B12" s="127" t="s">
        <v>2159</v>
      </c>
      <c r="C12" s="450" t="s">
        <v>122</v>
      </c>
      <c r="D12" s="76" t="s">
        <v>116</v>
      </c>
      <c r="E12" s="218">
        <v>113500</v>
      </c>
      <c r="F12" s="219"/>
      <c r="G12" s="444">
        <f t="shared" si="0"/>
        <v>1129170</v>
      </c>
      <c r="H12" s="449" t="s">
        <v>583</v>
      </c>
      <c r="I12" s="446" t="s">
        <v>2975</v>
      </c>
    </row>
    <row r="13" spans="1:10">
      <c r="A13" s="442">
        <v>45902</v>
      </c>
      <c r="B13" s="76" t="s">
        <v>183</v>
      </c>
      <c r="C13" s="76" t="s">
        <v>123</v>
      </c>
      <c r="D13" s="76"/>
      <c r="E13" s="218"/>
      <c r="F13" s="219">
        <v>30000</v>
      </c>
      <c r="G13" s="444">
        <f t="shared" si="0"/>
        <v>1159170</v>
      </c>
      <c r="H13" s="448" t="s">
        <v>183</v>
      </c>
      <c r="I13" s="446" t="s">
        <v>3521</v>
      </c>
    </row>
    <row r="14" spans="1:10">
      <c r="A14" s="442">
        <v>45903</v>
      </c>
      <c r="B14" s="76" t="s">
        <v>174</v>
      </c>
      <c r="C14" s="127" t="s">
        <v>123</v>
      </c>
      <c r="D14" s="127"/>
      <c r="E14" s="219"/>
      <c r="F14" s="219">
        <v>50000</v>
      </c>
      <c r="G14" s="444">
        <f t="shared" si="0"/>
        <v>1209170</v>
      </c>
      <c r="H14" s="448" t="s">
        <v>174</v>
      </c>
      <c r="I14" s="446" t="s">
        <v>3522</v>
      </c>
    </row>
    <row r="15" spans="1:10">
      <c r="A15" s="442">
        <v>45903</v>
      </c>
      <c r="B15" s="76" t="s">
        <v>183</v>
      </c>
      <c r="C15" s="76" t="s">
        <v>123</v>
      </c>
      <c r="D15" s="76"/>
      <c r="E15" s="219">
        <v>100000</v>
      </c>
      <c r="F15" s="219"/>
      <c r="G15" s="444">
        <f t="shared" si="0"/>
        <v>1109170</v>
      </c>
      <c r="H15" s="445" t="s">
        <v>183</v>
      </c>
      <c r="I15" s="446" t="s">
        <v>3523</v>
      </c>
    </row>
    <row r="16" spans="1:10">
      <c r="A16" s="442">
        <v>45903</v>
      </c>
      <c r="B16" s="127" t="s">
        <v>316</v>
      </c>
      <c r="C16" s="76" t="s">
        <v>123</v>
      </c>
      <c r="D16" s="76"/>
      <c r="E16" s="219">
        <v>100000</v>
      </c>
      <c r="F16" s="219"/>
      <c r="G16" s="444">
        <f t="shared" si="0"/>
        <v>1009170</v>
      </c>
      <c r="H16" s="445" t="s">
        <v>316</v>
      </c>
      <c r="I16" s="446" t="s">
        <v>3524</v>
      </c>
    </row>
    <row r="17" spans="1:9">
      <c r="A17" s="442">
        <v>45903</v>
      </c>
      <c r="B17" s="76" t="s">
        <v>174</v>
      </c>
      <c r="C17" s="76" t="s">
        <v>123</v>
      </c>
      <c r="D17" s="76"/>
      <c r="E17" s="218">
        <v>100000</v>
      </c>
      <c r="F17" s="219"/>
      <c r="G17" s="444">
        <f t="shared" si="0"/>
        <v>909170</v>
      </c>
      <c r="H17" s="448" t="s">
        <v>174</v>
      </c>
      <c r="I17" s="446" t="s">
        <v>3525</v>
      </c>
    </row>
    <row r="18" spans="1:9" hidden="1">
      <c r="A18" s="442">
        <v>45903</v>
      </c>
      <c r="B18" s="76" t="s">
        <v>3114</v>
      </c>
      <c r="C18" s="76" t="s">
        <v>307</v>
      </c>
      <c r="D18" s="76" t="s">
        <v>120</v>
      </c>
      <c r="E18" s="218">
        <v>10000</v>
      </c>
      <c r="F18" s="219"/>
      <c r="G18" s="444">
        <f t="shared" si="0"/>
        <v>899170</v>
      </c>
      <c r="H18" s="76" t="s">
        <v>174</v>
      </c>
      <c r="I18" s="446" t="s">
        <v>3198</v>
      </c>
    </row>
    <row r="19" spans="1:9" ht="15.6" hidden="1">
      <c r="A19" s="442">
        <v>45904</v>
      </c>
      <c r="B19" s="179" t="s">
        <v>3436</v>
      </c>
      <c r="C19" s="127" t="s">
        <v>2089</v>
      </c>
      <c r="D19" s="127" t="s">
        <v>119</v>
      </c>
      <c r="E19" s="218">
        <v>6000</v>
      </c>
      <c r="F19" s="219"/>
      <c r="G19" s="444">
        <f t="shared" si="0"/>
        <v>893170</v>
      </c>
      <c r="H19" s="76" t="s">
        <v>212</v>
      </c>
      <c r="I19" s="127" t="s">
        <v>3475</v>
      </c>
    </row>
    <row r="20" spans="1:9" ht="15.6" hidden="1">
      <c r="A20" s="442">
        <v>45904</v>
      </c>
      <c r="B20" s="179" t="s">
        <v>3437</v>
      </c>
      <c r="C20" s="127" t="s">
        <v>2089</v>
      </c>
      <c r="D20" s="127" t="s">
        <v>119</v>
      </c>
      <c r="E20" s="218">
        <v>6000</v>
      </c>
      <c r="F20" s="219"/>
      <c r="G20" s="444">
        <f t="shared" si="0"/>
        <v>887170</v>
      </c>
      <c r="H20" s="76" t="s">
        <v>212</v>
      </c>
      <c r="I20" s="127" t="s">
        <v>3475</v>
      </c>
    </row>
    <row r="21" spans="1:9" ht="15.6" hidden="1">
      <c r="A21" s="442">
        <v>45904</v>
      </c>
      <c r="B21" s="179" t="s">
        <v>3438</v>
      </c>
      <c r="C21" s="127" t="s">
        <v>2089</v>
      </c>
      <c r="D21" s="127" t="s">
        <v>119</v>
      </c>
      <c r="E21" s="218">
        <v>6000</v>
      </c>
      <c r="F21" s="219"/>
      <c r="G21" s="444">
        <f t="shared" si="0"/>
        <v>881170</v>
      </c>
      <c r="H21" s="76" t="s">
        <v>212</v>
      </c>
      <c r="I21" s="127" t="s">
        <v>3475</v>
      </c>
    </row>
    <row r="22" spans="1:9" ht="15.6" hidden="1">
      <c r="A22" s="442">
        <v>45904</v>
      </c>
      <c r="B22" s="179" t="s">
        <v>3439</v>
      </c>
      <c r="C22" s="127" t="s">
        <v>2089</v>
      </c>
      <c r="D22" s="127" t="s">
        <v>119</v>
      </c>
      <c r="E22" s="218">
        <v>6000</v>
      </c>
      <c r="F22" s="219"/>
      <c r="G22" s="444">
        <f t="shared" si="0"/>
        <v>875170</v>
      </c>
      <c r="H22" s="76" t="s">
        <v>212</v>
      </c>
      <c r="I22" s="127" t="s">
        <v>3475</v>
      </c>
    </row>
    <row r="23" spans="1:9" ht="15.6" hidden="1">
      <c r="A23" s="442">
        <v>45904</v>
      </c>
      <c r="B23" s="179" t="s">
        <v>3440</v>
      </c>
      <c r="C23" s="127" t="s">
        <v>2089</v>
      </c>
      <c r="D23" s="127" t="s">
        <v>119</v>
      </c>
      <c r="E23" s="218">
        <v>6000</v>
      </c>
      <c r="F23" s="219"/>
      <c r="G23" s="444">
        <f t="shared" si="0"/>
        <v>869170</v>
      </c>
      <c r="H23" s="76" t="s">
        <v>212</v>
      </c>
      <c r="I23" s="127" t="s">
        <v>3475</v>
      </c>
    </row>
    <row r="24" spans="1:9" ht="15.6" hidden="1">
      <c r="A24" s="442">
        <v>45904</v>
      </c>
      <c r="B24" s="179" t="s">
        <v>3441</v>
      </c>
      <c r="C24" s="127" t="s">
        <v>2089</v>
      </c>
      <c r="D24" s="127" t="s">
        <v>119</v>
      </c>
      <c r="E24" s="218">
        <v>6000</v>
      </c>
      <c r="F24" s="219"/>
      <c r="G24" s="444">
        <f t="shared" si="0"/>
        <v>863170</v>
      </c>
      <c r="H24" s="76" t="s">
        <v>212</v>
      </c>
      <c r="I24" s="127" t="s">
        <v>3475</v>
      </c>
    </row>
    <row r="25" spans="1:9" ht="15.6" hidden="1">
      <c r="A25" s="442">
        <v>45904</v>
      </c>
      <c r="B25" s="179" t="s">
        <v>3442</v>
      </c>
      <c r="C25" s="127" t="s">
        <v>2089</v>
      </c>
      <c r="D25" s="127" t="s">
        <v>119</v>
      </c>
      <c r="E25" s="218">
        <v>6000</v>
      </c>
      <c r="F25" s="219"/>
      <c r="G25" s="444">
        <f t="shared" si="0"/>
        <v>857170</v>
      </c>
      <c r="H25" s="76" t="s">
        <v>212</v>
      </c>
      <c r="I25" s="127" t="s">
        <v>3475</v>
      </c>
    </row>
    <row r="26" spans="1:9" ht="15.6" hidden="1">
      <c r="A26" s="442">
        <v>45904</v>
      </c>
      <c r="B26" s="179" t="s">
        <v>3443</v>
      </c>
      <c r="C26" s="127" t="s">
        <v>2089</v>
      </c>
      <c r="D26" s="127" t="s">
        <v>119</v>
      </c>
      <c r="E26" s="218">
        <v>6000</v>
      </c>
      <c r="F26" s="219"/>
      <c r="G26" s="444">
        <f t="shared" si="0"/>
        <v>851170</v>
      </c>
      <c r="H26" s="76" t="s">
        <v>212</v>
      </c>
      <c r="I26" s="127" t="s">
        <v>3475</v>
      </c>
    </row>
    <row r="27" spans="1:9" ht="15.6" hidden="1">
      <c r="A27" s="442">
        <v>45904</v>
      </c>
      <c r="B27" s="179" t="s">
        <v>3444</v>
      </c>
      <c r="C27" s="127" t="s">
        <v>2089</v>
      </c>
      <c r="D27" s="127" t="s">
        <v>119</v>
      </c>
      <c r="E27" s="218">
        <v>6000</v>
      </c>
      <c r="F27" s="219"/>
      <c r="G27" s="444">
        <f t="shared" si="0"/>
        <v>845170</v>
      </c>
      <c r="H27" s="76" t="s">
        <v>212</v>
      </c>
      <c r="I27" s="127" t="s">
        <v>3475</v>
      </c>
    </row>
    <row r="28" spans="1:9" ht="15.6" hidden="1">
      <c r="A28" s="442">
        <v>45904</v>
      </c>
      <c r="B28" s="179" t="s">
        <v>3445</v>
      </c>
      <c r="C28" s="127" t="s">
        <v>2089</v>
      </c>
      <c r="D28" s="127" t="s">
        <v>119</v>
      </c>
      <c r="E28" s="218">
        <v>6000</v>
      </c>
      <c r="F28" s="219"/>
      <c r="G28" s="444">
        <f t="shared" si="0"/>
        <v>839170</v>
      </c>
      <c r="H28" s="76" t="s">
        <v>212</v>
      </c>
      <c r="I28" s="127" t="s">
        <v>3475</v>
      </c>
    </row>
    <row r="29" spans="1:9" ht="15.6" hidden="1">
      <c r="A29" s="442">
        <v>45904</v>
      </c>
      <c r="B29" s="179" t="s">
        <v>3446</v>
      </c>
      <c r="C29" s="127" t="s">
        <v>2089</v>
      </c>
      <c r="D29" s="127" t="s">
        <v>119</v>
      </c>
      <c r="E29" s="218">
        <v>6000</v>
      </c>
      <c r="F29" s="219"/>
      <c r="G29" s="444">
        <f t="shared" si="0"/>
        <v>833170</v>
      </c>
      <c r="H29" s="76" t="s">
        <v>212</v>
      </c>
      <c r="I29" s="127" t="s">
        <v>3475</v>
      </c>
    </row>
    <row r="30" spans="1:9" ht="15.6" hidden="1">
      <c r="A30" s="442">
        <v>45904</v>
      </c>
      <c r="B30" s="179" t="s">
        <v>3447</v>
      </c>
      <c r="C30" s="127" t="s">
        <v>2089</v>
      </c>
      <c r="D30" s="127" t="s">
        <v>119</v>
      </c>
      <c r="E30" s="218">
        <v>6000</v>
      </c>
      <c r="F30" s="219"/>
      <c r="G30" s="444">
        <f t="shared" si="0"/>
        <v>827170</v>
      </c>
      <c r="H30" s="76" t="s">
        <v>212</v>
      </c>
      <c r="I30" s="127" t="s">
        <v>3475</v>
      </c>
    </row>
    <row r="31" spans="1:9" ht="15.6" hidden="1">
      <c r="A31" s="442">
        <v>45904</v>
      </c>
      <c r="B31" s="179" t="s">
        <v>3448</v>
      </c>
      <c r="C31" s="127" t="s">
        <v>2089</v>
      </c>
      <c r="D31" s="127" t="s">
        <v>119</v>
      </c>
      <c r="E31" s="218">
        <v>6000</v>
      </c>
      <c r="F31" s="219"/>
      <c r="G31" s="444">
        <f t="shared" si="0"/>
        <v>821170</v>
      </c>
      <c r="H31" s="76" t="s">
        <v>212</v>
      </c>
      <c r="I31" s="127" t="s">
        <v>3475</v>
      </c>
    </row>
    <row r="32" spans="1:9" ht="15.6" hidden="1">
      <c r="A32" s="442">
        <v>45904</v>
      </c>
      <c r="B32" s="179" t="s">
        <v>3449</v>
      </c>
      <c r="C32" s="127" t="s">
        <v>2089</v>
      </c>
      <c r="D32" s="127" t="s">
        <v>119</v>
      </c>
      <c r="E32" s="218">
        <v>6000</v>
      </c>
      <c r="F32" s="219"/>
      <c r="G32" s="444">
        <f t="shared" si="0"/>
        <v>815170</v>
      </c>
      <c r="H32" s="76" t="s">
        <v>212</v>
      </c>
      <c r="I32" s="127" t="s">
        <v>3475</v>
      </c>
    </row>
    <row r="33" spans="1:9" ht="15.6" hidden="1">
      <c r="A33" s="442">
        <v>45904</v>
      </c>
      <c r="B33" s="179" t="s">
        <v>3450</v>
      </c>
      <c r="C33" s="127" t="s">
        <v>2089</v>
      </c>
      <c r="D33" s="127" t="s">
        <v>119</v>
      </c>
      <c r="E33" s="218">
        <v>10000</v>
      </c>
      <c r="F33" s="219"/>
      <c r="G33" s="444">
        <f t="shared" si="0"/>
        <v>805170</v>
      </c>
      <c r="H33" s="76" t="s">
        <v>212</v>
      </c>
      <c r="I33" s="127" t="s">
        <v>3476</v>
      </c>
    </row>
    <row r="34" spans="1:9" ht="15.6" hidden="1">
      <c r="A34" s="442">
        <v>45904</v>
      </c>
      <c r="B34" s="179" t="s">
        <v>3451</v>
      </c>
      <c r="C34" s="127" t="s">
        <v>2089</v>
      </c>
      <c r="D34" s="127" t="s">
        <v>119</v>
      </c>
      <c r="E34" s="218">
        <v>10000</v>
      </c>
      <c r="F34" s="219"/>
      <c r="G34" s="444">
        <f t="shared" si="0"/>
        <v>795170</v>
      </c>
      <c r="H34" s="76" t="s">
        <v>212</v>
      </c>
      <c r="I34" s="127" t="s">
        <v>3476</v>
      </c>
    </row>
    <row r="35" spans="1:9" ht="15.6" hidden="1">
      <c r="A35" s="442">
        <v>45904</v>
      </c>
      <c r="B35" s="179" t="s">
        <v>3452</v>
      </c>
      <c r="C35" s="127" t="s">
        <v>2089</v>
      </c>
      <c r="D35" s="127" t="s">
        <v>119</v>
      </c>
      <c r="E35" s="218">
        <v>10000</v>
      </c>
      <c r="F35" s="219"/>
      <c r="G35" s="444">
        <f t="shared" si="0"/>
        <v>785170</v>
      </c>
      <c r="H35" s="76" t="s">
        <v>212</v>
      </c>
      <c r="I35" s="127" t="s">
        <v>3476</v>
      </c>
    </row>
    <row r="36" spans="1:9" ht="15.6" hidden="1">
      <c r="A36" s="442">
        <v>45904</v>
      </c>
      <c r="B36" s="179" t="s">
        <v>3453</v>
      </c>
      <c r="C36" s="127" t="s">
        <v>2089</v>
      </c>
      <c r="D36" s="127" t="s">
        <v>119</v>
      </c>
      <c r="E36" s="218">
        <v>10000</v>
      </c>
      <c r="F36" s="219"/>
      <c r="G36" s="444">
        <f t="shared" si="0"/>
        <v>775170</v>
      </c>
      <c r="H36" s="76" t="s">
        <v>212</v>
      </c>
      <c r="I36" s="127" t="s">
        <v>3476</v>
      </c>
    </row>
    <row r="37" spans="1:9" ht="15.6" hidden="1">
      <c r="A37" s="442">
        <v>45904</v>
      </c>
      <c r="B37" s="179" t="s">
        <v>3454</v>
      </c>
      <c r="C37" s="127" t="s">
        <v>2089</v>
      </c>
      <c r="D37" s="127" t="s">
        <v>119</v>
      </c>
      <c r="E37" s="218">
        <v>6000</v>
      </c>
      <c r="F37" s="219"/>
      <c r="G37" s="444">
        <f t="shared" si="0"/>
        <v>769170</v>
      </c>
      <c r="H37" s="76" t="s">
        <v>212</v>
      </c>
      <c r="I37" s="127" t="s">
        <v>3477</v>
      </c>
    </row>
    <row r="38" spans="1:9" ht="15.6" hidden="1">
      <c r="A38" s="442">
        <v>45904</v>
      </c>
      <c r="B38" s="179" t="s">
        <v>3455</v>
      </c>
      <c r="C38" s="127" t="s">
        <v>2089</v>
      </c>
      <c r="D38" s="127" t="s">
        <v>119</v>
      </c>
      <c r="E38" s="218">
        <v>6000</v>
      </c>
      <c r="F38" s="219"/>
      <c r="G38" s="444">
        <f t="shared" si="0"/>
        <v>763170</v>
      </c>
      <c r="H38" s="76" t="s">
        <v>212</v>
      </c>
      <c r="I38" s="127" t="s">
        <v>3477</v>
      </c>
    </row>
    <row r="39" spans="1:9" ht="15.6" hidden="1">
      <c r="A39" s="442">
        <v>45904</v>
      </c>
      <c r="B39" s="179" t="s">
        <v>3456</v>
      </c>
      <c r="C39" s="127" t="s">
        <v>2089</v>
      </c>
      <c r="D39" s="127" t="s">
        <v>119</v>
      </c>
      <c r="E39" s="218">
        <v>6000</v>
      </c>
      <c r="F39" s="219"/>
      <c r="G39" s="444">
        <f t="shared" si="0"/>
        <v>757170</v>
      </c>
      <c r="H39" s="76" t="s">
        <v>212</v>
      </c>
      <c r="I39" s="127" t="s">
        <v>3477</v>
      </c>
    </row>
    <row r="40" spans="1:9" ht="15.6" hidden="1">
      <c r="A40" s="442">
        <v>45904</v>
      </c>
      <c r="B40" s="179" t="s">
        <v>3457</v>
      </c>
      <c r="C40" s="127" t="s">
        <v>2089</v>
      </c>
      <c r="D40" s="127" t="s">
        <v>119</v>
      </c>
      <c r="E40" s="218">
        <v>6000</v>
      </c>
      <c r="F40" s="219"/>
      <c r="G40" s="444">
        <f t="shared" si="0"/>
        <v>751170</v>
      </c>
      <c r="H40" s="76" t="s">
        <v>212</v>
      </c>
      <c r="I40" s="127" t="s">
        <v>3477</v>
      </c>
    </row>
    <row r="41" spans="1:9">
      <c r="A41" s="442">
        <v>45904</v>
      </c>
      <c r="B41" s="76" t="s">
        <v>212</v>
      </c>
      <c r="C41" s="127" t="s">
        <v>123</v>
      </c>
      <c r="D41" s="127"/>
      <c r="E41" s="218">
        <v>20000</v>
      </c>
      <c r="F41" s="219"/>
      <c r="G41" s="444">
        <f t="shared" si="0"/>
        <v>731170</v>
      </c>
      <c r="H41" s="448" t="s">
        <v>212</v>
      </c>
      <c r="I41" s="446" t="s">
        <v>3526</v>
      </c>
    </row>
    <row r="42" spans="1:9">
      <c r="A42" s="442">
        <v>45905</v>
      </c>
      <c r="B42" s="76" t="s">
        <v>183</v>
      </c>
      <c r="C42" s="127" t="s">
        <v>123</v>
      </c>
      <c r="D42" s="76"/>
      <c r="E42" s="218">
        <v>113000</v>
      </c>
      <c r="F42" s="219"/>
      <c r="G42" s="444">
        <f t="shared" si="0"/>
        <v>618170</v>
      </c>
      <c r="H42" s="448" t="s">
        <v>183</v>
      </c>
      <c r="I42" s="446" t="s">
        <v>3527</v>
      </c>
    </row>
    <row r="43" spans="1:9">
      <c r="A43" s="442">
        <v>45905</v>
      </c>
      <c r="B43" s="76" t="s">
        <v>316</v>
      </c>
      <c r="C43" s="127" t="s">
        <v>123</v>
      </c>
      <c r="D43" s="76"/>
      <c r="E43" s="218">
        <v>105000</v>
      </c>
      <c r="F43" s="219"/>
      <c r="G43" s="444">
        <f t="shared" si="0"/>
        <v>513170</v>
      </c>
      <c r="H43" s="448" t="s">
        <v>316</v>
      </c>
      <c r="I43" s="446" t="s">
        <v>3528</v>
      </c>
    </row>
    <row r="44" spans="1:9">
      <c r="A44" s="442">
        <v>45905</v>
      </c>
      <c r="B44" s="76" t="s">
        <v>174</v>
      </c>
      <c r="C44" s="76" t="s">
        <v>123</v>
      </c>
      <c r="D44" s="76"/>
      <c r="E44" s="218">
        <v>116000</v>
      </c>
      <c r="F44" s="219"/>
      <c r="G44" s="444">
        <f t="shared" si="0"/>
        <v>397170</v>
      </c>
      <c r="H44" s="448" t="s">
        <v>174</v>
      </c>
      <c r="I44" s="446" t="s">
        <v>3529</v>
      </c>
    </row>
    <row r="45" spans="1:9">
      <c r="A45" s="442">
        <v>45905</v>
      </c>
      <c r="B45" s="127" t="s">
        <v>1508</v>
      </c>
      <c r="C45" s="127" t="s">
        <v>123</v>
      </c>
      <c r="D45" s="127"/>
      <c r="E45" s="218">
        <v>84000</v>
      </c>
      <c r="F45" s="219"/>
      <c r="G45" s="444">
        <f t="shared" si="0"/>
        <v>313170</v>
      </c>
      <c r="H45" s="448" t="s">
        <v>1508</v>
      </c>
      <c r="I45" s="446" t="s">
        <v>3530</v>
      </c>
    </row>
    <row r="46" spans="1:9">
      <c r="A46" s="442">
        <v>45905</v>
      </c>
      <c r="B46" s="127" t="s">
        <v>196</v>
      </c>
      <c r="C46" s="127" t="s">
        <v>123</v>
      </c>
      <c r="D46" s="127"/>
      <c r="E46" s="218">
        <v>75000</v>
      </c>
      <c r="F46" s="218"/>
      <c r="G46" s="444">
        <f t="shared" si="0"/>
        <v>238170</v>
      </c>
      <c r="H46" s="448" t="s">
        <v>196</v>
      </c>
      <c r="I46" s="446" t="s">
        <v>3531</v>
      </c>
    </row>
    <row r="47" spans="1:9" hidden="1">
      <c r="A47" s="442">
        <v>45905</v>
      </c>
      <c r="B47" s="127" t="s">
        <v>3311</v>
      </c>
      <c r="C47" s="76" t="s">
        <v>181</v>
      </c>
      <c r="D47" s="76" t="s">
        <v>117</v>
      </c>
      <c r="E47" s="218">
        <v>14790</v>
      </c>
      <c r="F47" s="219"/>
      <c r="G47" s="444">
        <f t="shared" si="0"/>
        <v>223380</v>
      </c>
      <c r="H47" s="76" t="s">
        <v>189</v>
      </c>
      <c r="I47" s="446" t="s">
        <v>3326</v>
      </c>
    </row>
    <row r="48" spans="1:9">
      <c r="A48" s="442">
        <v>45905</v>
      </c>
      <c r="B48" s="76" t="s">
        <v>152</v>
      </c>
      <c r="C48" s="76" t="s">
        <v>123</v>
      </c>
      <c r="D48" s="76"/>
      <c r="E48" s="218">
        <v>195000</v>
      </c>
      <c r="F48" s="218"/>
      <c r="G48" s="444">
        <f t="shared" si="0"/>
        <v>28380</v>
      </c>
      <c r="H48" s="448" t="s">
        <v>152</v>
      </c>
      <c r="I48" s="446" t="s">
        <v>3532</v>
      </c>
    </row>
    <row r="49" spans="1:9">
      <c r="A49" s="442">
        <v>45908</v>
      </c>
      <c r="B49" s="76" t="s">
        <v>3515</v>
      </c>
      <c r="C49" s="76" t="s">
        <v>123</v>
      </c>
      <c r="D49" s="76"/>
      <c r="E49" s="218"/>
      <c r="F49" s="218">
        <v>1000000</v>
      </c>
      <c r="G49" s="444">
        <f t="shared" si="0"/>
        <v>1028380</v>
      </c>
      <c r="H49" s="448" t="s">
        <v>147</v>
      </c>
      <c r="I49" s="446" t="s">
        <v>3533</v>
      </c>
    </row>
    <row r="50" spans="1:9" hidden="1">
      <c r="A50" s="442">
        <v>45908</v>
      </c>
      <c r="B50" s="76" t="s">
        <v>3315</v>
      </c>
      <c r="C50" s="76" t="s">
        <v>171</v>
      </c>
      <c r="D50" s="76" t="s">
        <v>117</v>
      </c>
      <c r="E50" s="218">
        <v>31250</v>
      </c>
      <c r="F50" s="219"/>
      <c r="G50" s="444">
        <f t="shared" si="0"/>
        <v>997130</v>
      </c>
      <c r="H50" s="76" t="s">
        <v>189</v>
      </c>
      <c r="I50" s="446" t="s">
        <v>3328</v>
      </c>
    </row>
    <row r="51" spans="1:9">
      <c r="A51" s="442">
        <v>45908</v>
      </c>
      <c r="B51" s="76" t="s">
        <v>1508</v>
      </c>
      <c r="C51" s="127" t="s">
        <v>123</v>
      </c>
      <c r="D51" s="127"/>
      <c r="E51" s="218">
        <v>100000</v>
      </c>
      <c r="F51" s="219"/>
      <c r="G51" s="444">
        <f t="shared" si="0"/>
        <v>897130</v>
      </c>
      <c r="H51" s="448" t="s">
        <v>1508</v>
      </c>
      <c r="I51" s="446" t="s">
        <v>3534</v>
      </c>
    </row>
    <row r="52" spans="1:9" hidden="1">
      <c r="A52" s="442">
        <v>45908</v>
      </c>
      <c r="B52" s="127" t="s">
        <v>3488</v>
      </c>
      <c r="C52" s="76" t="s">
        <v>181</v>
      </c>
      <c r="D52" s="76" t="s">
        <v>117</v>
      </c>
      <c r="E52" s="218">
        <v>2000</v>
      </c>
      <c r="F52" s="218"/>
      <c r="G52" s="444">
        <f t="shared" si="0"/>
        <v>895130</v>
      </c>
      <c r="H52" s="76" t="s">
        <v>186</v>
      </c>
      <c r="I52" s="446" t="s">
        <v>3506</v>
      </c>
    </row>
    <row r="53" spans="1:9" hidden="1">
      <c r="A53" s="442">
        <v>45908</v>
      </c>
      <c r="B53" s="76" t="s">
        <v>3535</v>
      </c>
      <c r="C53" s="127" t="s">
        <v>151</v>
      </c>
      <c r="D53" s="127" t="s">
        <v>117</v>
      </c>
      <c r="E53" s="218">
        <v>5000</v>
      </c>
      <c r="F53" s="218"/>
      <c r="G53" s="444">
        <f t="shared" si="0"/>
        <v>890130</v>
      </c>
      <c r="H53" s="447" t="s">
        <v>1899</v>
      </c>
      <c r="I53" s="446" t="s">
        <v>1533</v>
      </c>
    </row>
    <row r="54" spans="1:9">
      <c r="A54" s="442">
        <v>45909</v>
      </c>
      <c r="B54" s="76" t="s">
        <v>322</v>
      </c>
      <c r="C54" s="76" t="s">
        <v>123</v>
      </c>
      <c r="D54" s="76"/>
      <c r="E54" s="218">
        <v>20000</v>
      </c>
      <c r="F54" s="218"/>
      <c r="G54" s="444">
        <f t="shared" si="0"/>
        <v>870130</v>
      </c>
      <c r="H54" s="448" t="s">
        <v>322</v>
      </c>
      <c r="I54" s="446" t="s">
        <v>3536</v>
      </c>
    </row>
    <row r="55" spans="1:9" hidden="1">
      <c r="A55" s="442">
        <v>45909</v>
      </c>
      <c r="B55" s="127" t="s">
        <v>3463</v>
      </c>
      <c r="C55" s="76" t="s">
        <v>264</v>
      </c>
      <c r="D55" s="76" t="s">
        <v>2414</v>
      </c>
      <c r="E55" s="218">
        <v>30000</v>
      </c>
      <c r="F55" s="218"/>
      <c r="G55" s="444">
        <f t="shared" si="0"/>
        <v>840130</v>
      </c>
      <c r="H55" s="76" t="s">
        <v>212</v>
      </c>
      <c r="I55" s="446" t="s">
        <v>3480</v>
      </c>
    </row>
    <row r="56" spans="1:9">
      <c r="A56" s="442">
        <v>45910</v>
      </c>
      <c r="B56" s="349" t="s">
        <v>174</v>
      </c>
      <c r="C56" s="76" t="s">
        <v>123</v>
      </c>
      <c r="D56" s="349"/>
      <c r="E56" s="218">
        <v>38000</v>
      </c>
      <c r="F56" s="218"/>
      <c r="G56" s="444">
        <f t="shared" si="0"/>
        <v>802130</v>
      </c>
      <c r="H56" s="448" t="s">
        <v>174</v>
      </c>
      <c r="I56" s="446" t="s">
        <v>3537</v>
      </c>
    </row>
    <row r="57" spans="1:9">
      <c r="A57" s="442">
        <v>45910</v>
      </c>
      <c r="B57" s="127" t="s">
        <v>183</v>
      </c>
      <c r="C57" s="76" t="s">
        <v>123</v>
      </c>
      <c r="D57" s="76"/>
      <c r="E57" s="218">
        <v>28000</v>
      </c>
      <c r="F57" s="218"/>
      <c r="G57" s="444">
        <f t="shared" si="0"/>
        <v>774130</v>
      </c>
      <c r="H57" s="448" t="s">
        <v>183</v>
      </c>
      <c r="I57" s="446" t="s">
        <v>3538</v>
      </c>
    </row>
    <row r="58" spans="1:9">
      <c r="A58" s="442">
        <v>45910</v>
      </c>
      <c r="B58" s="127" t="s">
        <v>1508</v>
      </c>
      <c r="C58" s="76" t="s">
        <v>123</v>
      </c>
      <c r="D58" s="76"/>
      <c r="E58" s="218">
        <v>106000</v>
      </c>
      <c r="F58" s="218"/>
      <c r="G58" s="444">
        <f t="shared" si="0"/>
        <v>668130</v>
      </c>
      <c r="H58" s="448" t="s">
        <v>1508</v>
      </c>
      <c r="I58" s="446" t="s">
        <v>3539</v>
      </c>
    </row>
    <row r="59" spans="1:9">
      <c r="A59" s="442">
        <v>45910</v>
      </c>
      <c r="B59" s="127" t="s">
        <v>196</v>
      </c>
      <c r="C59" s="76" t="s">
        <v>123</v>
      </c>
      <c r="D59" s="76"/>
      <c r="E59" s="218">
        <v>112000</v>
      </c>
      <c r="F59" s="218"/>
      <c r="G59" s="444">
        <f t="shared" si="0"/>
        <v>556130</v>
      </c>
      <c r="H59" s="448" t="s">
        <v>196</v>
      </c>
      <c r="I59" s="446" t="s">
        <v>3540</v>
      </c>
    </row>
    <row r="60" spans="1:9" hidden="1">
      <c r="A60" s="442">
        <v>45910</v>
      </c>
      <c r="B60" s="127" t="s">
        <v>3494</v>
      </c>
      <c r="C60" s="76" t="s">
        <v>181</v>
      </c>
      <c r="D60" s="76" t="s">
        <v>117</v>
      </c>
      <c r="E60" s="218">
        <v>7860</v>
      </c>
      <c r="F60" s="219"/>
      <c r="G60" s="444">
        <f t="shared" si="0"/>
        <v>548270</v>
      </c>
      <c r="H60" s="76" t="s">
        <v>186</v>
      </c>
      <c r="I60" s="446" t="s">
        <v>3508</v>
      </c>
    </row>
    <row r="61" spans="1:9">
      <c r="A61" s="442">
        <v>45910</v>
      </c>
      <c r="B61" s="76" t="s">
        <v>186</v>
      </c>
      <c r="C61" s="76" t="s">
        <v>123</v>
      </c>
      <c r="D61" s="76"/>
      <c r="E61" s="218">
        <v>20000</v>
      </c>
      <c r="F61" s="219"/>
      <c r="G61" s="444">
        <f t="shared" si="0"/>
        <v>528270</v>
      </c>
      <c r="H61" s="448" t="s">
        <v>186</v>
      </c>
      <c r="I61" s="446" t="s">
        <v>3541</v>
      </c>
    </row>
    <row r="62" spans="1:9">
      <c r="A62" s="442">
        <v>45911</v>
      </c>
      <c r="B62" s="76" t="s">
        <v>183</v>
      </c>
      <c r="C62" s="76" t="s">
        <v>123</v>
      </c>
      <c r="D62" s="76"/>
      <c r="E62" s="218">
        <v>120000</v>
      </c>
      <c r="F62" s="219"/>
      <c r="G62" s="444">
        <f t="shared" si="0"/>
        <v>408270</v>
      </c>
      <c r="H62" s="448" t="s">
        <v>183</v>
      </c>
      <c r="I62" s="446" t="s">
        <v>3542</v>
      </c>
    </row>
    <row r="63" spans="1:9">
      <c r="A63" s="442">
        <v>45911</v>
      </c>
      <c r="B63" s="127" t="s">
        <v>174</v>
      </c>
      <c r="C63" s="76" t="s">
        <v>123</v>
      </c>
      <c r="D63" s="76"/>
      <c r="E63" s="218">
        <v>120000</v>
      </c>
      <c r="F63" s="218"/>
      <c r="G63" s="444">
        <f t="shared" si="0"/>
        <v>288270</v>
      </c>
      <c r="H63" s="448" t="s">
        <v>174</v>
      </c>
      <c r="I63" s="446" t="s">
        <v>3543</v>
      </c>
    </row>
    <row r="64" spans="1:9" hidden="1">
      <c r="A64" s="442">
        <v>45911</v>
      </c>
      <c r="B64" s="127" t="s">
        <v>2358</v>
      </c>
      <c r="C64" s="76" t="s">
        <v>181</v>
      </c>
      <c r="D64" s="76" t="s">
        <v>117</v>
      </c>
      <c r="E64" s="218">
        <v>7200</v>
      </c>
      <c r="F64" s="219"/>
      <c r="G64" s="444">
        <f t="shared" si="0"/>
        <v>281070</v>
      </c>
      <c r="H64" s="76" t="s">
        <v>186</v>
      </c>
      <c r="I64" s="446" t="s">
        <v>3509</v>
      </c>
    </row>
    <row r="65" spans="1:9" hidden="1">
      <c r="A65" s="442">
        <v>45912</v>
      </c>
      <c r="B65" s="76" t="s">
        <v>3352</v>
      </c>
      <c r="C65" s="76" t="s">
        <v>125</v>
      </c>
      <c r="D65" s="76" t="s">
        <v>117</v>
      </c>
      <c r="E65" s="218">
        <v>55270</v>
      </c>
      <c r="F65" s="218"/>
      <c r="G65" s="444">
        <f t="shared" si="0"/>
        <v>225800</v>
      </c>
      <c r="H65" s="76" t="s">
        <v>192</v>
      </c>
      <c r="I65" s="446" t="s">
        <v>3369</v>
      </c>
    </row>
    <row r="66" spans="1:9">
      <c r="A66" s="442">
        <v>45915</v>
      </c>
      <c r="B66" s="127" t="s">
        <v>192</v>
      </c>
      <c r="C66" s="76" t="s">
        <v>123</v>
      </c>
      <c r="D66" s="76"/>
      <c r="E66" s="218">
        <v>20000</v>
      </c>
      <c r="F66" s="219"/>
      <c r="G66" s="444">
        <f t="shared" si="0"/>
        <v>205800</v>
      </c>
      <c r="H66" s="448" t="s">
        <v>192</v>
      </c>
      <c r="I66" s="446" t="s">
        <v>3544</v>
      </c>
    </row>
    <row r="67" spans="1:9">
      <c r="A67" s="442">
        <v>45915</v>
      </c>
      <c r="B67" s="127" t="s">
        <v>183</v>
      </c>
      <c r="C67" s="76" t="s">
        <v>123</v>
      </c>
      <c r="D67" s="76"/>
      <c r="E67" s="218">
        <v>90000</v>
      </c>
      <c r="F67" s="218"/>
      <c r="G67" s="444">
        <f t="shared" ref="G67:G108" si="1">G66+F67-E67</f>
        <v>115800</v>
      </c>
      <c r="H67" s="448" t="s">
        <v>183</v>
      </c>
      <c r="I67" s="446" t="s">
        <v>3545</v>
      </c>
    </row>
    <row r="68" spans="1:9">
      <c r="A68" s="442">
        <v>45915</v>
      </c>
      <c r="B68" s="76" t="s">
        <v>174</v>
      </c>
      <c r="C68" s="76" t="s">
        <v>123</v>
      </c>
      <c r="D68" s="76"/>
      <c r="E68" s="218">
        <v>90000</v>
      </c>
      <c r="F68" s="218"/>
      <c r="G68" s="444">
        <f t="shared" si="1"/>
        <v>25800</v>
      </c>
      <c r="H68" s="448" t="s">
        <v>174</v>
      </c>
      <c r="I68" s="446" t="s">
        <v>3546</v>
      </c>
    </row>
    <row r="69" spans="1:9" hidden="1">
      <c r="A69" s="442">
        <v>45915</v>
      </c>
      <c r="B69" s="127" t="s">
        <v>2358</v>
      </c>
      <c r="C69" s="76" t="s">
        <v>181</v>
      </c>
      <c r="D69" s="76" t="s">
        <v>117</v>
      </c>
      <c r="E69" s="218">
        <v>3600</v>
      </c>
      <c r="F69" s="218"/>
      <c r="G69" s="444">
        <f t="shared" si="1"/>
        <v>22200</v>
      </c>
      <c r="H69" s="76" t="s">
        <v>189</v>
      </c>
      <c r="I69" s="446" t="s">
        <v>3329</v>
      </c>
    </row>
    <row r="70" spans="1:9">
      <c r="A70" s="442">
        <v>45915</v>
      </c>
      <c r="B70" s="76" t="s">
        <v>196</v>
      </c>
      <c r="C70" s="76" t="s">
        <v>123</v>
      </c>
      <c r="D70" s="76"/>
      <c r="E70" s="218">
        <v>20000</v>
      </c>
      <c r="F70" s="218"/>
      <c r="G70" s="444">
        <f t="shared" si="1"/>
        <v>2200</v>
      </c>
      <c r="H70" s="448" t="s">
        <v>196</v>
      </c>
      <c r="I70" s="446" t="s">
        <v>3547</v>
      </c>
    </row>
    <row r="71" spans="1:9">
      <c r="A71" s="442">
        <v>45916</v>
      </c>
      <c r="B71" s="76" t="s">
        <v>3548</v>
      </c>
      <c r="C71" s="76" t="s">
        <v>123</v>
      </c>
      <c r="D71" s="76"/>
      <c r="E71" s="218"/>
      <c r="F71" s="218">
        <v>500000</v>
      </c>
      <c r="G71" s="444">
        <f t="shared" si="1"/>
        <v>502200</v>
      </c>
      <c r="H71" s="445" t="s">
        <v>147</v>
      </c>
      <c r="I71" s="446" t="s">
        <v>3549</v>
      </c>
    </row>
    <row r="72" spans="1:9" hidden="1">
      <c r="A72" s="442">
        <v>45917</v>
      </c>
      <c r="B72" s="76" t="s">
        <v>3517</v>
      </c>
      <c r="C72" s="127" t="s">
        <v>151</v>
      </c>
      <c r="D72" s="127" t="s">
        <v>117</v>
      </c>
      <c r="E72" s="218">
        <v>112500</v>
      </c>
      <c r="F72" s="95"/>
      <c r="G72" s="444">
        <f t="shared" si="1"/>
        <v>389700</v>
      </c>
      <c r="H72" s="451" t="s">
        <v>1899</v>
      </c>
      <c r="I72" s="127" t="s">
        <v>1533</v>
      </c>
    </row>
    <row r="73" spans="1:9">
      <c r="A73" s="442">
        <v>45917</v>
      </c>
      <c r="B73" s="127" t="s">
        <v>316</v>
      </c>
      <c r="C73" s="127" t="s">
        <v>123</v>
      </c>
      <c r="D73" s="127"/>
      <c r="E73" s="218">
        <v>20000</v>
      </c>
      <c r="F73" s="218"/>
      <c r="G73" s="444">
        <f t="shared" si="1"/>
        <v>369700</v>
      </c>
      <c r="H73" s="445" t="s">
        <v>316</v>
      </c>
      <c r="I73" s="446" t="s">
        <v>3550</v>
      </c>
    </row>
    <row r="74" spans="1:9" hidden="1">
      <c r="A74" s="442">
        <v>45917</v>
      </c>
      <c r="B74" s="127" t="s">
        <v>2895</v>
      </c>
      <c r="C74" s="76" t="s">
        <v>264</v>
      </c>
      <c r="D74" s="76" t="s">
        <v>2414</v>
      </c>
      <c r="E74" s="218">
        <v>35000</v>
      </c>
      <c r="F74" s="218"/>
      <c r="G74" s="444">
        <f t="shared" si="1"/>
        <v>334700</v>
      </c>
      <c r="H74" s="127" t="s">
        <v>1508</v>
      </c>
      <c r="I74" s="446" t="s">
        <v>2923</v>
      </c>
    </row>
    <row r="75" spans="1:9">
      <c r="A75" s="442">
        <v>45918</v>
      </c>
      <c r="B75" s="127" t="s">
        <v>183</v>
      </c>
      <c r="C75" s="76" t="s">
        <v>123</v>
      </c>
      <c r="D75" s="76"/>
      <c r="E75" s="218">
        <v>120000</v>
      </c>
      <c r="F75" s="218"/>
      <c r="G75" s="444">
        <f t="shared" si="1"/>
        <v>214700</v>
      </c>
      <c r="H75" s="448" t="s">
        <v>183</v>
      </c>
      <c r="I75" s="446" t="s">
        <v>3551</v>
      </c>
    </row>
    <row r="76" spans="1:9">
      <c r="A76" s="442">
        <v>45918</v>
      </c>
      <c r="B76" s="127" t="s">
        <v>174</v>
      </c>
      <c r="C76" s="76" t="s">
        <v>123</v>
      </c>
      <c r="D76" s="76"/>
      <c r="E76" s="218">
        <v>120000</v>
      </c>
      <c r="F76" s="218"/>
      <c r="G76" s="444">
        <f t="shared" si="1"/>
        <v>94700</v>
      </c>
      <c r="H76" s="448" t="s">
        <v>174</v>
      </c>
      <c r="I76" s="446" t="s">
        <v>3552</v>
      </c>
    </row>
    <row r="77" spans="1:9" hidden="1">
      <c r="A77" s="442">
        <v>45918</v>
      </c>
      <c r="B77" s="127" t="s">
        <v>2358</v>
      </c>
      <c r="C77" s="76" t="s">
        <v>181</v>
      </c>
      <c r="D77" s="76" t="s">
        <v>117</v>
      </c>
      <c r="E77" s="218">
        <v>7200</v>
      </c>
      <c r="F77" s="218"/>
      <c r="G77" s="444">
        <f t="shared" si="1"/>
        <v>87500</v>
      </c>
      <c r="H77" s="76" t="s">
        <v>583</v>
      </c>
      <c r="I77" s="446" t="s">
        <v>2979</v>
      </c>
    </row>
    <row r="78" spans="1:9" hidden="1">
      <c r="A78" s="442">
        <v>45919</v>
      </c>
      <c r="B78" s="76" t="s">
        <v>818</v>
      </c>
      <c r="C78" s="76" t="s">
        <v>171</v>
      </c>
      <c r="D78" s="76" t="s">
        <v>117</v>
      </c>
      <c r="E78" s="218">
        <v>31250</v>
      </c>
      <c r="F78" s="218"/>
      <c r="G78" s="444">
        <f t="shared" si="1"/>
        <v>56250</v>
      </c>
      <c r="H78" s="76" t="s">
        <v>192</v>
      </c>
      <c r="I78" s="446" t="s">
        <v>3372</v>
      </c>
    </row>
    <row r="79" spans="1:9">
      <c r="A79" s="442">
        <v>45919</v>
      </c>
      <c r="B79" s="76" t="s">
        <v>583</v>
      </c>
      <c r="C79" s="127" t="s">
        <v>123</v>
      </c>
      <c r="D79" s="127"/>
      <c r="E79" s="218">
        <v>20000</v>
      </c>
      <c r="F79" s="218"/>
      <c r="G79" s="444">
        <f t="shared" si="1"/>
        <v>36250</v>
      </c>
      <c r="H79" s="448" t="s">
        <v>583</v>
      </c>
      <c r="I79" s="446" t="s">
        <v>3553</v>
      </c>
    </row>
    <row r="80" spans="1:9">
      <c r="A80" s="442">
        <v>45922</v>
      </c>
      <c r="B80" s="76" t="s">
        <v>3554</v>
      </c>
      <c r="C80" s="76" t="s">
        <v>123</v>
      </c>
      <c r="D80" s="76"/>
      <c r="E80" s="218"/>
      <c r="F80" s="218">
        <v>200000</v>
      </c>
      <c r="G80" s="444">
        <f t="shared" si="1"/>
        <v>236250</v>
      </c>
      <c r="H80" s="448" t="s">
        <v>147</v>
      </c>
      <c r="I80" s="446" t="s">
        <v>3555</v>
      </c>
    </row>
    <row r="81" spans="1:9" hidden="1">
      <c r="A81" s="442">
        <v>45922</v>
      </c>
      <c r="B81" s="127" t="s">
        <v>584</v>
      </c>
      <c r="C81" s="76" t="s">
        <v>368</v>
      </c>
      <c r="D81" s="76" t="s">
        <v>120</v>
      </c>
      <c r="E81" s="218">
        <v>35000</v>
      </c>
      <c r="F81" s="218"/>
      <c r="G81" s="444">
        <f t="shared" si="1"/>
        <v>201250</v>
      </c>
      <c r="H81" s="127" t="s">
        <v>186</v>
      </c>
      <c r="I81" s="446" t="s">
        <v>3511</v>
      </c>
    </row>
    <row r="82" spans="1:9" hidden="1">
      <c r="A82" s="442">
        <v>45922</v>
      </c>
      <c r="B82" s="127" t="s">
        <v>3498</v>
      </c>
      <c r="C82" s="76" t="s">
        <v>181</v>
      </c>
      <c r="D82" s="76" t="s">
        <v>117</v>
      </c>
      <c r="E82" s="452">
        <v>2278</v>
      </c>
      <c r="F82" s="452"/>
      <c r="G82" s="444">
        <f t="shared" si="1"/>
        <v>198972</v>
      </c>
      <c r="H82" s="76" t="s">
        <v>186</v>
      </c>
      <c r="I82" s="446" t="s">
        <v>3512</v>
      </c>
    </row>
    <row r="83" spans="1:9">
      <c r="A83" s="442">
        <v>45923</v>
      </c>
      <c r="B83" s="76" t="s">
        <v>183</v>
      </c>
      <c r="C83" s="127" t="s">
        <v>123</v>
      </c>
      <c r="D83" s="76"/>
      <c r="E83" s="218">
        <v>50000</v>
      </c>
      <c r="F83" s="218"/>
      <c r="G83" s="444">
        <f t="shared" si="1"/>
        <v>148972</v>
      </c>
      <c r="H83" s="448" t="s">
        <v>183</v>
      </c>
      <c r="I83" s="446" t="s">
        <v>3556</v>
      </c>
    </row>
    <row r="84" spans="1:9">
      <c r="A84" s="442">
        <v>45923</v>
      </c>
      <c r="B84" s="127" t="s">
        <v>174</v>
      </c>
      <c r="C84" s="76" t="s">
        <v>123</v>
      </c>
      <c r="D84" s="76"/>
      <c r="E84" s="218">
        <v>50000</v>
      </c>
      <c r="F84" s="218"/>
      <c r="G84" s="444">
        <f t="shared" si="1"/>
        <v>98972</v>
      </c>
      <c r="H84" s="448" t="s">
        <v>174</v>
      </c>
      <c r="I84" s="446" t="s">
        <v>3557</v>
      </c>
    </row>
    <row r="85" spans="1:9" hidden="1">
      <c r="A85" s="442">
        <v>45923</v>
      </c>
      <c r="B85" s="127" t="s">
        <v>2949</v>
      </c>
      <c r="C85" s="76" t="s">
        <v>181</v>
      </c>
      <c r="D85" s="76" t="s">
        <v>117</v>
      </c>
      <c r="E85" s="218">
        <v>2000</v>
      </c>
      <c r="F85" s="218"/>
      <c r="G85" s="444">
        <f t="shared" si="1"/>
        <v>96972</v>
      </c>
      <c r="H85" s="76" t="s">
        <v>583</v>
      </c>
      <c r="I85" s="446" t="s">
        <v>2980</v>
      </c>
    </row>
    <row r="86" spans="1:9" hidden="1">
      <c r="A86" s="442">
        <v>45923</v>
      </c>
      <c r="B86" s="127" t="s">
        <v>2365</v>
      </c>
      <c r="C86" s="76" t="s">
        <v>171</v>
      </c>
      <c r="D86" s="76" t="s">
        <v>117</v>
      </c>
      <c r="E86" s="218">
        <v>25000</v>
      </c>
      <c r="F86" s="218"/>
      <c r="G86" s="444">
        <f t="shared" si="1"/>
        <v>71972</v>
      </c>
      <c r="H86" s="76" t="s">
        <v>189</v>
      </c>
      <c r="I86" s="446" t="s">
        <v>3331</v>
      </c>
    </row>
    <row r="87" spans="1:9">
      <c r="A87" s="442">
        <v>45924</v>
      </c>
      <c r="B87" s="76" t="s">
        <v>322</v>
      </c>
      <c r="C87" s="76" t="s">
        <v>123</v>
      </c>
      <c r="D87" s="76"/>
      <c r="E87" s="218">
        <v>10000</v>
      </c>
      <c r="F87" s="218"/>
      <c r="G87" s="444">
        <f t="shared" si="1"/>
        <v>61972</v>
      </c>
      <c r="H87" s="448" t="s">
        <v>322</v>
      </c>
      <c r="I87" s="446" t="s">
        <v>3558</v>
      </c>
    </row>
    <row r="88" spans="1:9">
      <c r="A88" s="442">
        <v>45924</v>
      </c>
      <c r="B88" s="76" t="s">
        <v>316</v>
      </c>
      <c r="C88" s="76" t="s">
        <v>123</v>
      </c>
      <c r="D88" s="76"/>
      <c r="E88" s="218">
        <v>10000</v>
      </c>
      <c r="F88" s="219"/>
      <c r="G88" s="444">
        <f t="shared" si="1"/>
        <v>51972</v>
      </c>
      <c r="H88" s="448" t="s">
        <v>316</v>
      </c>
      <c r="I88" s="446" t="s">
        <v>3559</v>
      </c>
    </row>
    <row r="89" spans="1:9" hidden="1">
      <c r="A89" s="442">
        <v>45924</v>
      </c>
      <c r="B89" s="76" t="s">
        <v>2952</v>
      </c>
      <c r="C89" s="127" t="s">
        <v>171</v>
      </c>
      <c r="D89" s="76" t="s">
        <v>117</v>
      </c>
      <c r="E89" s="218">
        <v>19000</v>
      </c>
      <c r="F89" s="219"/>
      <c r="G89" s="444">
        <f t="shared" si="1"/>
        <v>32972</v>
      </c>
      <c r="H89" s="76" t="s">
        <v>583</v>
      </c>
      <c r="I89" s="446" t="s">
        <v>2981</v>
      </c>
    </row>
    <row r="90" spans="1:9" hidden="1">
      <c r="A90" s="442">
        <v>45926</v>
      </c>
      <c r="B90" s="76" t="s">
        <v>2953</v>
      </c>
      <c r="C90" s="76" t="s">
        <v>125</v>
      </c>
      <c r="D90" s="76" t="s">
        <v>117</v>
      </c>
      <c r="E90" s="218">
        <v>6000</v>
      </c>
      <c r="F90" s="219"/>
      <c r="G90" s="444">
        <f t="shared" si="1"/>
        <v>26972</v>
      </c>
      <c r="H90" s="76" t="s">
        <v>583</v>
      </c>
      <c r="I90" s="446" t="s">
        <v>2982</v>
      </c>
    </row>
    <row r="91" spans="1:9">
      <c r="A91" s="442">
        <v>45926</v>
      </c>
      <c r="B91" s="127" t="s">
        <v>152</v>
      </c>
      <c r="C91" s="127" t="s">
        <v>123</v>
      </c>
      <c r="D91" s="127"/>
      <c r="E91" s="218"/>
      <c r="F91" s="219">
        <v>80000</v>
      </c>
      <c r="G91" s="444">
        <f t="shared" si="1"/>
        <v>106972</v>
      </c>
      <c r="H91" s="448" t="s">
        <v>152</v>
      </c>
      <c r="I91" s="446" t="s">
        <v>3560</v>
      </c>
    </row>
    <row r="92" spans="1:9">
      <c r="A92" s="442">
        <v>45926</v>
      </c>
      <c r="B92" s="76" t="s">
        <v>183</v>
      </c>
      <c r="C92" s="127" t="s">
        <v>123</v>
      </c>
      <c r="D92" s="76"/>
      <c r="E92" s="218">
        <v>40000</v>
      </c>
      <c r="F92" s="219"/>
      <c r="G92" s="444">
        <f t="shared" si="1"/>
        <v>66972</v>
      </c>
      <c r="H92" s="448" t="s">
        <v>183</v>
      </c>
      <c r="I92" s="446" t="s">
        <v>3561</v>
      </c>
    </row>
    <row r="93" spans="1:9">
      <c r="A93" s="442">
        <v>45926</v>
      </c>
      <c r="B93" s="127" t="s">
        <v>174</v>
      </c>
      <c r="C93" s="76" t="s">
        <v>123</v>
      </c>
      <c r="D93" s="76"/>
      <c r="E93" s="218">
        <v>40000</v>
      </c>
      <c r="F93" s="219"/>
      <c r="G93" s="444">
        <f t="shared" si="1"/>
        <v>26972</v>
      </c>
      <c r="H93" s="448" t="s">
        <v>174</v>
      </c>
      <c r="I93" s="446" t="s">
        <v>3562</v>
      </c>
    </row>
    <row r="94" spans="1:9" hidden="1">
      <c r="A94" s="442">
        <v>45926</v>
      </c>
      <c r="B94" s="127" t="s">
        <v>2949</v>
      </c>
      <c r="C94" s="76" t="s">
        <v>181</v>
      </c>
      <c r="D94" s="76" t="s">
        <v>117</v>
      </c>
      <c r="E94" s="218">
        <v>2800</v>
      </c>
      <c r="F94" s="219"/>
      <c r="G94" s="444">
        <f t="shared" si="1"/>
        <v>24172</v>
      </c>
      <c r="H94" s="76" t="s">
        <v>583</v>
      </c>
      <c r="I94" s="446" t="s">
        <v>2983</v>
      </c>
    </row>
    <row r="95" spans="1:9">
      <c r="A95" s="442">
        <v>45928</v>
      </c>
      <c r="B95" s="127" t="s">
        <v>3563</v>
      </c>
      <c r="C95" s="76" t="s">
        <v>123</v>
      </c>
      <c r="D95" s="76"/>
      <c r="E95" s="218"/>
      <c r="F95" s="219">
        <v>1200558</v>
      </c>
      <c r="G95" s="444">
        <f t="shared" si="1"/>
        <v>1224730</v>
      </c>
      <c r="H95" s="448" t="s">
        <v>2099</v>
      </c>
      <c r="I95" s="446" t="s">
        <v>3564</v>
      </c>
    </row>
    <row r="96" spans="1:9">
      <c r="A96" s="442">
        <v>45928</v>
      </c>
      <c r="B96" s="76" t="s">
        <v>1508</v>
      </c>
      <c r="C96" s="76" t="s">
        <v>123</v>
      </c>
      <c r="D96" s="76"/>
      <c r="E96" s="218">
        <v>385000</v>
      </c>
      <c r="F96" s="219"/>
      <c r="G96" s="444">
        <f t="shared" si="1"/>
        <v>839730</v>
      </c>
      <c r="H96" s="448" t="s">
        <v>1508</v>
      </c>
      <c r="I96" s="446" t="s">
        <v>3565</v>
      </c>
    </row>
    <row r="97" spans="1:9">
      <c r="A97" s="442">
        <v>45928</v>
      </c>
      <c r="B97" s="127" t="s">
        <v>196</v>
      </c>
      <c r="C97" s="76" t="s">
        <v>123</v>
      </c>
      <c r="D97" s="76"/>
      <c r="E97" s="218">
        <v>130000</v>
      </c>
      <c r="F97" s="219"/>
      <c r="G97" s="444">
        <f t="shared" si="1"/>
        <v>709730</v>
      </c>
      <c r="H97" s="448" t="s">
        <v>196</v>
      </c>
      <c r="I97" s="446" t="s">
        <v>3566</v>
      </c>
    </row>
    <row r="98" spans="1:9">
      <c r="A98" s="442">
        <v>45928</v>
      </c>
      <c r="B98" s="76" t="s">
        <v>212</v>
      </c>
      <c r="C98" s="127" t="s">
        <v>123</v>
      </c>
      <c r="D98" s="76"/>
      <c r="E98" s="218">
        <v>192000</v>
      </c>
      <c r="F98" s="219"/>
      <c r="G98" s="444">
        <f t="shared" si="1"/>
        <v>517730</v>
      </c>
      <c r="H98" s="448" t="s">
        <v>212</v>
      </c>
      <c r="I98" s="446" t="s">
        <v>3567</v>
      </c>
    </row>
    <row r="99" spans="1:9">
      <c r="A99" s="442">
        <v>45928</v>
      </c>
      <c r="B99" s="127" t="s">
        <v>183</v>
      </c>
      <c r="C99" s="76" t="s">
        <v>123</v>
      </c>
      <c r="D99" s="76"/>
      <c r="E99" s="218">
        <v>260000</v>
      </c>
      <c r="F99" s="219"/>
      <c r="G99" s="444">
        <f t="shared" si="1"/>
        <v>257730</v>
      </c>
      <c r="H99" s="448" t="s">
        <v>183</v>
      </c>
      <c r="I99" s="446" t="s">
        <v>3568</v>
      </c>
    </row>
    <row r="100" spans="1:9">
      <c r="A100" s="442">
        <v>45928</v>
      </c>
      <c r="B100" s="127" t="s">
        <v>174</v>
      </c>
      <c r="C100" s="127" t="s">
        <v>123</v>
      </c>
      <c r="D100" s="76"/>
      <c r="E100" s="218">
        <v>185000</v>
      </c>
      <c r="F100" s="219"/>
      <c r="G100" s="444">
        <f t="shared" si="1"/>
        <v>72730</v>
      </c>
      <c r="H100" s="448" t="s">
        <v>174</v>
      </c>
      <c r="I100" s="446" t="s">
        <v>3569</v>
      </c>
    </row>
    <row r="101" spans="1:9" hidden="1">
      <c r="A101" s="442">
        <v>45929</v>
      </c>
      <c r="B101" s="76" t="s">
        <v>3315</v>
      </c>
      <c r="C101" s="76" t="s">
        <v>171</v>
      </c>
      <c r="D101" s="76" t="s">
        <v>117</v>
      </c>
      <c r="E101" s="218">
        <v>15625</v>
      </c>
      <c r="F101" s="219"/>
      <c r="G101" s="444">
        <f t="shared" si="1"/>
        <v>57105</v>
      </c>
      <c r="H101" s="127" t="s">
        <v>186</v>
      </c>
      <c r="I101" s="446" t="s">
        <v>3513</v>
      </c>
    </row>
    <row r="102" spans="1:9">
      <c r="A102" s="442">
        <v>45929</v>
      </c>
      <c r="B102" s="127" t="s">
        <v>152</v>
      </c>
      <c r="C102" s="127" t="s">
        <v>123</v>
      </c>
      <c r="D102" s="76"/>
      <c r="E102" s="218"/>
      <c r="F102" s="219">
        <v>110000</v>
      </c>
      <c r="G102" s="444">
        <f t="shared" si="1"/>
        <v>167105</v>
      </c>
      <c r="H102" s="448" t="s">
        <v>152</v>
      </c>
      <c r="I102" s="446" t="s">
        <v>3570</v>
      </c>
    </row>
    <row r="103" spans="1:9" hidden="1">
      <c r="A103" s="442">
        <v>45929</v>
      </c>
      <c r="B103" s="76" t="s">
        <v>3571</v>
      </c>
      <c r="C103" s="127" t="s">
        <v>151</v>
      </c>
      <c r="D103" s="127" t="s">
        <v>117</v>
      </c>
      <c r="E103" s="218">
        <v>112500</v>
      </c>
      <c r="F103" s="219"/>
      <c r="G103" s="444">
        <f t="shared" si="1"/>
        <v>54605</v>
      </c>
      <c r="H103" s="447" t="s">
        <v>1899</v>
      </c>
      <c r="I103" s="127" t="s">
        <v>1533</v>
      </c>
    </row>
    <row r="104" spans="1:9">
      <c r="A104" s="442">
        <v>45930</v>
      </c>
      <c r="B104" s="76" t="s">
        <v>3572</v>
      </c>
      <c r="C104" s="76" t="s">
        <v>123</v>
      </c>
      <c r="D104" s="76"/>
      <c r="E104" s="218"/>
      <c r="F104" s="218">
        <v>2000000</v>
      </c>
      <c r="G104" s="444">
        <f t="shared" si="1"/>
        <v>2054605</v>
      </c>
      <c r="H104" s="445" t="s">
        <v>147</v>
      </c>
      <c r="I104" s="446" t="s">
        <v>3573</v>
      </c>
    </row>
    <row r="105" spans="1:9">
      <c r="A105" s="442">
        <v>45930</v>
      </c>
      <c r="B105" s="127" t="s">
        <v>3574</v>
      </c>
      <c r="C105" s="127" t="s">
        <v>123</v>
      </c>
      <c r="D105" s="76"/>
      <c r="E105" s="218">
        <v>1200558</v>
      </c>
      <c r="F105" s="219"/>
      <c r="G105" s="444">
        <f t="shared" si="1"/>
        <v>854047</v>
      </c>
      <c r="H105" s="445" t="s">
        <v>2099</v>
      </c>
      <c r="I105" s="446" t="s">
        <v>3575</v>
      </c>
    </row>
    <row r="106" spans="1:9" hidden="1">
      <c r="A106" s="442">
        <v>45930</v>
      </c>
      <c r="B106" s="127" t="s">
        <v>2967</v>
      </c>
      <c r="C106" s="76" t="s">
        <v>181</v>
      </c>
      <c r="D106" s="76" t="s">
        <v>117</v>
      </c>
      <c r="E106" s="218">
        <v>122074</v>
      </c>
      <c r="F106" s="219"/>
      <c r="G106" s="444">
        <f t="shared" si="1"/>
        <v>731973</v>
      </c>
      <c r="H106" s="127" t="s">
        <v>583</v>
      </c>
      <c r="I106" s="446" t="s">
        <v>2985</v>
      </c>
    </row>
    <row r="107" spans="1:9" hidden="1">
      <c r="A107" s="442">
        <v>45930</v>
      </c>
      <c r="B107" s="127" t="s">
        <v>2968</v>
      </c>
      <c r="C107" s="127" t="s">
        <v>626</v>
      </c>
      <c r="D107" s="127" t="s">
        <v>117</v>
      </c>
      <c r="E107" s="218">
        <v>45050</v>
      </c>
      <c r="F107" s="219"/>
      <c r="G107" s="444">
        <f t="shared" si="1"/>
        <v>686923</v>
      </c>
      <c r="H107" s="127" t="s">
        <v>583</v>
      </c>
      <c r="I107" s="446" t="s">
        <v>2986</v>
      </c>
    </row>
    <row r="108" spans="1:9">
      <c r="A108" s="442">
        <v>45930</v>
      </c>
      <c r="B108" s="76" t="s">
        <v>583</v>
      </c>
      <c r="C108" s="76" t="s">
        <v>123</v>
      </c>
      <c r="D108" s="76"/>
      <c r="E108" s="444">
        <v>20000</v>
      </c>
      <c r="F108" s="452"/>
      <c r="G108" s="444">
        <f t="shared" si="1"/>
        <v>666923</v>
      </c>
      <c r="H108" s="448" t="s">
        <v>583</v>
      </c>
      <c r="I108" s="446" t="s">
        <v>3576</v>
      </c>
    </row>
  </sheetData>
  <autoFilter ref="A1:J108">
    <filterColumn colId="2">
      <filters blank="1">
        <filter val="Versement"/>
      </filters>
    </filterColumn>
  </autoFilter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1</vt:i4>
      </vt:variant>
    </vt:vector>
  </HeadingPairs>
  <TitlesOfParts>
    <vt:vector size="14" baseType="lpstr">
      <vt:lpstr>Balance  </vt:lpstr>
      <vt:lpstr>DATA </vt:lpstr>
      <vt:lpstr>Personals balance  </vt:lpstr>
      <vt:lpstr>Individual costs  </vt:lpstr>
      <vt:lpstr>Individual received </vt:lpstr>
      <vt:lpstr>data ANALYSIS  </vt:lpstr>
      <vt:lpstr>Bank journal  </vt:lpstr>
      <vt:lpstr>Bank reconciliation  </vt:lpstr>
      <vt:lpstr>Cash journal  </vt:lpstr>
      <vt:lpstr>Cash desk closing</vt:lpstr>
      <vt:lpstr>Global data </vt:lpstr>
      <vt:lpstr>Donors table </vt:lpstr>
      <vt:lpstr>phone credit </vt:lpstr>
      <vt:lpstr>'Bank reconciliation  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Jana Hajduchová</dc:creator>
  <cp:lastModifiedBy>Tiffany Gobert</cp:lastModifiedBy>
  <cp:lastPrinted>2025-10-08T08:35:44Z</cp:lastPrinted>
  <dcterms:created xsi:type="dcterms:W3CDTF">2024-11-19T16:31:30Z</dcterms:created>
  <dcterms:modified xsi:type="dcterms:W3CDTF">2025-10-20T09:31:13Z</dcterms:modified>
</cp:coreProperties>
</file>